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8540" windowHeight="18520" tabRatio="500" activeTab="0"/>
  </bookViews>
  <sheets>
    <sheet name="Instructions" sheetId="1" r:id="rId1"/>
    <sheet name="Production_facility" sheetId="2" r:id="rId2"/>
    <sheet name="Production_layout" sheetId="3" r:id="rId3"/>
    <sheet name="Craft_facility" sheetId="4" r:id="rId4"/>
    <sheet name="Craft2_facility" sheetId="5" r:id="rId5"/>
    <sheet name="Craft2_layout" sheetId="6" r:id="rId6"/>
    <sheet name="Craft_layout" sheetId="7" r:id="rId7"/>
    <sheet name="Sheet1" sheetId="8" r:id="rId8"/>
    <sheet name="Sheet2" sheetId="9" r:id="rId9"/>
    <sheet name="Sheet3" sheetId="10" r:id="rId10"/>
  </sheets>
  <externalReferences>
    <externalReference r:id="rId13"/>
  </externalReferences>
  <definedNames>
    <definedName name="Craft_area_def">'Craft_facility'!$D$11:$D$20</definedName>
    <definedName name="Craft_color">'Craft_facility'!$B$11:$B$20</definedName>
    <definedName name="Craft_cost">'Craft_layout'!$B$48:$K$57</definedName>
    <definedName name="Craft_cw">'Craft_facility'!$E$8</definedName>
    <definedName name="Craft_darea">'Craft_layout'!$E$18:$E$27</definedName>
    <definedName name="Craft_depts">'Craft_layout'!$B$18:$B$27</definedName>
    <definedName name="Craft_dim">'Craft_layout'!$B$5</definedName>
    <definedName name="Craft_fixed">'Craft_layout'!$C$18:$C$27</definedName>
    <definedName name="Craft_flow">'Craft_layout'!$B$33:$K$42</definedName>
    <definedName name="Craft_info">'Craft_layout'!$B$18:$E$27</definedName>
    <definedName name="Craft_Iterations">'Craft_facility'!$AA$8:$AG$20</definedName>
    <definedName name="Craft_length">'Craft_layout'!$C$11</definedName>
    <definedName name="Craft_method">'Craft_facility'!$E$3</definedName>
    <definedName name="Craft_name">'Craft_layout'!$B$2</definedName>
    <definedName name="Craft_num_col">'Craft_facility'!$E$7</definedName>
    <definedName name="Craft_num_fixed">'Craft_layout'!$B$4</definedName>
    <definedName name="Craft_number">'Craft_layout'!$B$3</definedName>
    <definedName name="Craft_parea">'Craft_layout'!$C$13</definedName>
    <definedName name="Craft_plnt">'Craft_facility'!$J$11:$X$21</definedName>
    <definedName name="Craft_scale">'Craft_layout'!$B$10</definedName>
    <definedName name="Craft_seq">'Craft_facility'!$G$11:$G$20</definedName>
    <definedName name="Craft_value">'Craft_facility'!$B$8</definedName>
    <definedName name="Craft_width">'Craft_layout'!$C$12</definedName>
    <definedName name="Craft_x_cent">'Craft_facility'!$E$11:$E$20</definedName>
    <definedName name="Craft_y_cent">'Craft_facility'!$F$11:$F$20</definedName>
    <definedName name="Craft2_area_def">'Craft2_facility'!$D$11:$D$20</definedName>
    <definedName name="Craft2_color">'Craft2_facility'!$B$11:$B$20</definedName>
    <definedName name="Craft2_cost">'Craft2_layout'!$B$48:$K$57</definedName>
    <definedName name="Craft2_cw">'Craft2_facility'!$E$8</definedName>
    <definedName name="Craft2_darea">'Craft2_layout'!$E$18:$E$27</definedName>
    <definedName name="Craft2_depts">'Craft2_layout'!$B$18:$B$27</definedName>
    <definedName name="Craft2_dim">'Craft2_layout'!$B$5</definedName>
    <definedName name="Craft2_fixed">'Craft2_layout'!$C$18:$C$27</definedName>
    <definedName name="Craft2_flow">'Craft2_layout'!$B$33:$K$42</definedName>
    <definedName name="Craft2_info">'Craft2_layout'!$B$18:$E$27</definedName>
    <definedName name="Craft2_Iterations">'Craft2_facility'!$AF$8:$AL$20</definedName>
    <definedName name="Craft2_length">'Craft2_layout'!$C$11</definedName>
    <definedName name="Craft2_method">'Craft2_facility'!$E$3</definedName>
    <definedName name="Craft2_name">'Craft2_layout'!$B$2</definedName>
    <definedName name="Craft2_num_col">'Craft2_facility'!$E$7</definedName>
    <definedName name="Craft2_num_fixed">'Craft2_layout'!$B$4</definedName>
    <definedName name="Craft2_number">'Craft2_layout'!$B$3</definedName>
    <definedName name="Craft2_parea">'Craft2_layout'!$C$13</definedName>
    <definedName name="Craft2_plnt">'Craft2_facility'!$J$11:$AC$20</definedName>
    <definedName name="Craft2_scale">'Craft2_layout'!$B$10</definedName>
    <definedName name="Craft2_seq">'Craft2_facility'!$G$11:$G$20</definedName>
    <definedName name="Craft2_value">'Craft2_facility'!$B$8</definedName>
    <definedName name="Craft2_width">'Craft2_layout'!$C$12</definedName>
    <definedName name="Craft2_x_cent">'Craft2_facility'!$E$11:$E$20</definedName>
    <definedName name="Craft2_y_cent">'Craft2_facility'!$F$11:$F$20</definedName>
    <definedName name="Production_area_def">'Production_facility'!$D$11:$D$20</definedName>
    <definedName name="Production_color">'Production_facility'!$B$11:$B$20</definedName>
    <definedName name="Production_cost">'Production_layout'!$B$48:$K$57</definedName>
    <definedName name="Production_cw">'Production_facility'!$E$8</definedName>
    <definedName name="Production_darea">'Production_layout'!$E$18:$E$27</definedName>
    <definedName name="Production_depts">'Production_layout'!$B$18:$B$27</definedName>
    <definedName name="Production_dim">'Production_layout'!$B$5</definedName>
    <definedName name="Production_fixed">'Production_layout'!$C$18:$C$27</definedName>
    <definedName name="Production_flow">'Production_layout'!$B$33:$K$42</definedName>
    <definedName name="Production_info">'Production_layout'!$B$18:$E$27</definedName>
    <definedName name="Production_Iterations">'Production_facility'!$AA$8:$AG$20</definedName>
    <definedName name="Production_length">'Production_layout'!$C$11</definedName>
    <definedName name="Production_method">'Production_facility'!$E$3</definedName>
    <definedName name="Production_name">'Production_layout'!$B$2</definedName>
    <definedName name="Production_num_col">'Production_facility'!$E$7</definedName>
    <definedName name="Production_num_fixed">'Production_layout'!$B$4</definedName>
    <definedName name="Production_number">'Production_layout'!$B$3</definedName>
    <definedName name="Production_parea">'Production_layout'!$C$13</definedName>
    <definedName name="Production_plnt">'Production_facility'!$J$11:$X$21</definedName>
    <definedName name="Production_scale">'Production_layout'!$B$10</definedName>
    <definedName name="Production_seq">'Production_facility'!$G$11:$G$20</definedName>
    <definedName name="Production_value">'Production_facility'!$B$8</definedName>
    <definedName name="Production_width">'Production_layout'!$C$12</definedName>
    <definedName name="Production_x_cent">'Production_facility'!$E$11:$E$20</definedName>
    <definedName name="Production_y_cent">'Production_facility'!$F$11:$F$20</definedName>
  </definedNames>
  <calcPr fullCalcOnLoad="1"/>
</workbook>
</file>

<file path=xl/sharedStrings.xml><?xml version="1.0" encoding="utf-8"?>
<sst xmlns="http://schemas.openxmlformats.org/spreadsheetml/2006/main" count="323" uniqueCount="107">
  <si>
    <t>Layout Data</t>
  </si>
  <si>
    <t>Problem Name:</t>
  </si>
  <si>
    <t>Production</t>
  </si>
  <si>
    <t>Number Depts.:</t>
  </si>
  <si>
    <t>Fixed Points:</t>
  </si>
  <si>
    <t>Dimension:</t>
  </si>
  <si>
    <t>m</t>
  </si>
  <si>
    <t>Facility Information</t>
  </si>
  <si>
    <t>Scale-m/unit</t>
  </si>
  <si>
    <t>Cells</t>
  </si>
  <si>
    <t>Length-m</t>
  </si>
  <si>
    <t>Width-m</t>
  </si>
  <si>
    <t>Area-sq.m</t>
  </si>
  <si>
    <t>Department Information</t>
  </si>
  <si>
    <t>Name</t>
  </si>
  <si>
    <t>F/V</t>
  </si>
  <si>
    <t>Area</t>
  </si>
  <si>
    <t>Dept. 1</t>
  </si>
  <si>
    <t>Dept. 2</t>
  </si>
  <si>
    <t>Dept. 3</t>
  </si>
  <si>
    <t>Dept. 4</t>
  </si>
  <si>
    <t>Dept. 5</t>
  </si>
  <si>
    <t>Dept. 6</t>
  </si>
  <si>
    <t>Dept. 7</t>
  </si>
  <si>
    <t>Dept. 8</t>
  </si>
  <si>
    <t>Dept. 9</t>
  </si>
  <si>
    <t>Dept. 10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</si>
  <si>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</si>
  <si>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</si>
  <si>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</si>
  <si>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</si>
  <si>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</si>
  <si>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</si>
  <si>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</si>
  <si>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</si>
  <si>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</si>
  <si>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</si>
  <si>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 xml:space="preserve"> V</t>
  </si>
  <si>
    <t>Flow Matrix</t>
  </si>
  <si>
    <t>FROM</t>
  </si>
  <si>
    <t>TO</t>
  </si>
  <si>
    <t>Cost Matrix</t>
  </si>
  <si>
    <t>Define Facility</t>
  </si>
  <si>
    <t>Facility Layout</t>
  </si>
  <si>
    <t>Length(cells):</t>
  </si>
  <si>
    <t>Width(cells):</t>
  </si>
  <si>
    <t>Area (cells):</t>
  </si>
  <si>
    <t>Cost:</t>
  </si>
  <si>
    <t>Method:</t>
  </si>
  <si>
    <t>Layout:</t>
  </si>
  <si>
    <t>Fill Departments:</t>
  </si>
  <si>
    <t>Measure:</t>
  </si>
  <si>
    <t>Number Aisles:</t>
  </si>
  <si>
    <t>Dept. Width:</t>
  </si>
  <si>
    <t>Sequence</t>
  </si>
  <si>
    <t>Aisle</t>
  </si>
  <si>
    <t>No</t>
  </si>
  <si>
    <t>Rectilinear</t>
  </si>
  <si>
    <t>Department</t>
  </si>
  <si>
    <t>Color</t>
  </si>
  <si>
    <t>Area-required</t>
  </si>
  <si>
    <t>Area-defined</t>
  </si>
  <si>
    <t>x-centroid</t>
  </si>
  <si>
    <t>y-centroid</t>
  </si>
  <si>
    <t>Opt. Form</t>
  </si>
  <si>
    <t>Optimize</t>
  </si>
  <si>
    <t>Random Layout</t>
  </si>
  <si>
    <t>Evaluate</t>
  </si>
  <si>
    <t>Show Flows</t>
  </si>
  <si>
    <t>Solve</t>
  </si>
  <si>
    <t>Switch</t>
  </si>
  <si>
    <t>Change Facility</t>
  </si>
  <si>
    <t>Init. Cost</t>
  </si>
  <si>
    <t>Index</t>
  </si>
  <si>
    <t>Init. Seq.</t>
  </si>
  <si>
    <t>Iter.</t>
  </si>
  <si>
    <t>Type</t>
  </si>
  <si>
    <t>Action</t>
  </si>
  <si>
    <t>Cost</t>
  </si>
  <si>
    <t>Iterations:</t>
  </si>
  <si>
    <t>Switch:</t>
  </si>
  <si>
    <t>No improving switches available.</t>
  </si>
  <si>
    <t>2 and 6</t>
  </si>
  <si>
    <t>5 and 8</t>
  </si>
  <si>
    <t>3 and 9</t>
  </si>
  <si>
    <t>3 and 7</t>
  </si>
  <si>
    <t>1 and 6</t>
  </si>
  <si>
    <t>5 and 10</t>
  </si>
  <si>
    <t>Craft</t>
  </si>
  <si>
    <t>Traditional</t>
  </si>
  <si>
    <t>10 and 9</t>
  </si>
  <si>
    <t>3 and 2</t>
  </si>
  <si>
    <t>5 and 2</t>
  </si>
  <si>
    <t>8 and 7</t>
  </si>
  <si>
    <t>Value of current layout</t>
  </si>
  <si>
    <t>Craft2</t>
  </si>
  <si>
    <t>Blank</t>
  </si>
  <si>
    <t>4 and 2</t>
  </si>
  <si>
    <t>9 and 7</t>
  </si>
  <si>
    <t>3 and 6</t>
  </si>
  <si>
    <t>Facility Layout Add-in Demonstration</t>
  </si>
  <si>
    <t>http://www.me.utexas.edu/~jensen/ORMM/omie/computation/unit/lay_add/lay_add.html</t>
  </si>
  <si>
    <t>Instructions</t>
  </si>
  <si>
    <t>•</t>
  </si>
  <si>
    <t>Install the Facility Layout Add-in to use this demonstation file.</t>
  </si>
  <si>
    <t>When opening a file with links, a dialog may appear asking whether links are to be re-established. Always answer no to this question.</t>
  </si>
  <si>
    <t xml:space="preserve">Use the Layout Buttons Command to link to the add-in on your computer.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</si>
</sst>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color indexed="12"/>
      <name val="Verdana"/>
      <family val="0"/>
    </font>
    <font>
      <sz val="10"/>
      <color indexed="12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sz val="18"/>
      <color indexed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b/>
      <sz val="16"/>
      <name val="Geneva"/>
      <family val="0"/>
    </font>
    <font>
      <b/>
      <sz val="14"/>
      <name val="Geneva"/>
      <family val="0"/>
    </font>
    <font>
      <b/>
      <sz val="10"/>
      <color indexed="10"/>
      <name val="Geneva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5" borderId="3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6" borderId="3" xfId="0" applyNumberFormat="1" applyFill="1" applyBorder="1" applyAlignment="1">
      <alignment/>
    </xf>
    <xf numFmtId="0" fontId="0" fillId="7" borderId="3" xfId="0" applyNumberFormat="1" applyFill="1" applyBorder="1" applyAlignment="1">
      <alignment/>
    </xf>
    <xf numFmtId="0" fontId="0" fillId="8" borderId="3" xfId="0" applyNumberFormat="1" applyFill="1" applyBorder="1" applyAlignment="1">
      <alignment/>
    </xf>
    <xf numFmtId="0" fontId="0" fillId="9" borderId="3" xfId="0" applyNumberFormat="1" applyFill="1" applyBorder="1" applyAlignment="1">
      <alignment/>
    </xf>
    <xf numFmtId="0" fontId="0" fillId="10" borderId="3" xfId="0" applyNumberFormat="1" applyFill="1" applyBorder="1" applyAlignment="1">
      <alignment/>
    </xf>
    <xf numFmtId="0" fontId="0" fillId="11" borderId="3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8" borderId="3" xfId="0" applyFill="1" applyBorder="1" applyAlignment="1">
      <alignment/>
    </xf>
    <xf numFmtId="0" fontId="0" fillId="9" borderId="3" xfId="0" applyFill="1" applyBorder="1" applyAlignment="1">
      <alignment/>
    </xf>
    <xf numFmtId="0" fontId="0" fillId="10" borderId="3" xfId="0" applyFill="1" applyBorder="1" applyAlignment="1">
      <alignment/>
    </xf>
    <xf numFmtId="0" fontId="0" fillId="11" borderId="3" xfId="0" applyFill="1" applyBorder="1" applyAlignment="1">
      <alignment/>
    </xf>
    <xf numFmtId="0" fontId="15" fillId="0" borderId="0" xfId="24">
      <alignment/>
      <protection/>
    </xf>
    <xf numFmtId="0" fontId="15" fillId="0" borderId="0" xfId="24" applyAlignment="1">
      <alignment horizontal="center" vertical="center"/>
      <protection/>
    </xf>
    <xf numFmtId="0" fontId="15" fillId="0" borderId="0" xfId="24" applyAlignment="1">
      <alignment wrapText="1"/>
      <protection/>
    </xf>
    <xf numFmtId="0" fontId="12" fillId="0" borderId="0" xfId="23">
      <alignment/>
      <protection/>
    </xf>
    <xf numFmtId="0" fontId="16" fillId="0" borderId="0" xfId="24" applyFont="1" applyAlignment="1">
      <alignment wrapText="1"/>
      <protection/>
    </xf>
    <xf numFmtId="0" fontId="14" fillId="0" borderId="0" xfId="22" applyAlignment="1">
      <alignment wrapText="1"/>
    </xf>
    <xf numFmtId="0" fontId="17" fillId="0" borderId="0" xfId="24" applyFont="1" applyAlignment="1">
      <alignment horizontal="center" wrapText="1"/>
      <protection/>
    </xf>
    <xf numFmtId="0" fontId="15" fillId="0" borderId="4" xfId="24" applyFont="1" applyBorder="1" applyAlignment="1">
      <alignment wrapText="1"/>
      <protection/>
    </xf>
    <xf numFmtId="0" fontId="18" fillId="0" borderId="5" xfId="24" applyFont="1" applyBorder="1" applyAlignment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laydem.xls" xfId="20"/>
    <cellStyle name="Hyperlink" xfId="21"/>
    <cellStyle name="Hyperlink_laydem.xls" xfId="22"/>
    <cellStyle name="Normal_laydem.xls" xfId="23"/>
    <cellStyle name="Normal_mpdem.xls_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</xdr:row>
      <xdr:rowOff>0</xdr:rowOff>
    </xdr:from>
    <xdr:to>
      <xdr:col>15</xdr:col>
      <xdr:colOff>0</xdr:colOff>
      <xdr:row>4</xdr:row>
      <xdr:rowOff>85725</xdr:rowOff>
    </xdr:to>
    <xdr:sp macro="[1]!layout_make_comb">
      <xdr:nvSpPr>
        <xdr:cNvPr id="1" name="Oval 165"/>
        <xdr:cNvSpPr>
          <a:spLocks/>
        </xdr:cNvSpPr>
      </xdr:nvSpPr>
      <xdr:spPr>
        <a:xfrm>
          <a:off x="8601075" y="5715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3</xdr:row>
      <xdr:rowOff>0</xdr:rowOff>
    </xdr:from>
    <xdr:to>
      <xdr:col>20</xdr:col>
      <xdr:colOff>0</xdr:colOff>
      <xdr:row>4</xdr:row>
      <xdr:rowOff>85725</xdr:rowOff>
    </xdr:to>
    <xdr:sp macro="[1]!layout_search_comb">
      <xdr:nvSpPr>
        <xdr:cNvPr id="2" name="Oval 166"/>
        <xdr:cNvSpPr>
          <a:spLocks/>
        </xdr:cNvSpPr>
      </xdr:nvSpPr>
      <xdr:spPr>
        <a:xfrm>
          <a:off x="10029825" y="5715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0</xdr:rowOff>
    </xdr:from>
    <xdr:to>
      <xdr:col>10</xdr:col>
      <xdr:colOff>0</xdr:colOff>
      <xdr:row>6</xdr:row>
      <xdr:rowOff>85725</xdr:rowOff>
    </xdr:to>
    <xdr:sp macro="[1]!col_layout_initial">
      <xdr:nvSpPr>
        <xdr:cNvPr id="3" name="Oval 167"/>
        <xdr:cNvSpPr>
          <a:spLocks/>
        </xdr:cNvSpPr>
      </xdr:nvSpPr>
      <xdr:spPr>
        <a:xfrm>
          <a:off x="717232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15</xdr:col>
      <xdr:colOff>0</xdr:colOff>
      <xdr:row>6</xdr:row>
      <xdr:rowOff>85725</xdr:rowOff>
    </xdr:to>
    <xdr:sp macro="[1]!eval_layout">
      <xdr:nvSpPr>
        <xdr:cNvPr id="4" name="Oval 168"/>
        <xdr:cNvSpPr>
          <a:spLocks/>
        </xdr:cNvSpPr>
      </xdr:nvSpPr>
      <xdr:spPr>
        <a:xfrm>
          <a:off x="860107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5</xdr:row>
      <xdr:rowOff>0</xdr:rowOff>
    </xdr:from>
    <xdr:to>
      <xdr:col>20</xdr:col>
      <xdr:colOff>0</xdr:colOff>
      <xdr:row>6</xdr:row>
      <xdr:rowOff>85725</xdr:rowOff>
    </xdr:to>
    <xdr:sp macro="[1]!show_flow_lines">
      <xdr:nvSpPr>
        <xdr:cNvPr id="5" name="Oval 169"/>
        <xdr:cNvSpPr>
          <a:spLocks/>
        </xdr:cNvSpPr>
      </xdr:nvSpPr>
      <xdr:spPr>
        <a:xfrm>
          <a:off x="1002982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0</xdr:rowOff>
    </xdr:from>
    <xdr:to>
      <xdr:col>10</xdr:col>
      <xdr:colOff>0</xdr:colOff>
      <xdr:row>8</xdr:row>
      <xdr:rowOff>85725</xdr:rowOff>
    </xdr:to>
    <xdr:sp macro="[1]!layout_main">
      <xdr:nvSpPr>
        <xdr:cNvPr id="6" name="Oval 170"/>
        <xdr:cNvSpPr>
          <a:spLocks/>
        </xdr:cNvSpPr>
      </xdr:nvSpPr>
      <xdr:spPr>
        <a:xfrm>
          <a:off x="717232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15</xdr:col>
      <xdr:colOff>0</xdr:colOff>
      <xdr:row>8</xdr:row>
      <xdr:rowOff>85725</xdr:rowOff>
    </xdr:to>
    <xdr:sp macro="[1]!Forced_Switch">
      <xdr:nvSpPr>
        <xdr:cNvPr id="7" name="Oval 171"/>
        <xdr:cNvSpPr>
          <a:spLocks/>
        </xdr:cNvSpPr>
      </xdr:nvSpPr>
      <xdr:spPr>
        <a:xfrm>
          <a:off x="860107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0</xdr:rowOff>
    </xdr:from>
    <xdr:to>
      <xdr:col>20</xdr:col>
      <xdr:colOff>0</xdr:colOff>
      <xdr:row>8</xdr:row>
      <xdr:rowOff>85725</xdr:rowOff>
    </xdr:to>
    <xdr:sp macro="[1]!layout_new_plant">
      <xdr:nvSpPr>
        <xdr:cNvPr id="8" name="Oval 172"/>
        <xdr:cNvSpPr>
          <a:spLocks/>
        </xdr:cNvSpPr>
      </xdr:nvSpPr>
      <xdr:spPr>
        <a:xfrm>
          <a:off x="1002982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0</xdr:rowOff>
    </xdr:from>
    <xdr:to>
      <xdr:col>4</xdr:col>
      <xdr:colOff>0</xdr:colOff>
      <xdr:row>3</xdr:row>
      <xdr:rowOff>85725</xdr:rowOff>
    </xdr:to>
    <xdr:sp macro="[1]!transition">
      <xdr:nvSpPr>
        <xdr:cNvPr id="1" name="Oval 4"/>
        <xdr:cNvSpPr>
          <a:spLocks/>
        </xdr:cNvSpPr>
      </xdr:nvSpPr>
      <xdr:spPr>
        <a:xfrm>
          <a:off x="2619375" y="447675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</xdr:row>
      <xdr:rowOff>0</xdr:rowOff>
    </xdr:from>
    <xdr:to>
      <xdr:col>10</xdr:col>
      <xdr:colOff>0</xdr:colOff>
      <xdr:row>6</xdr:row>
      <xdr:rowOff>85725</xdr:rowOff>
    </xdr:to>
    <xdr:sp macro="[1]!col_layout_initial">
      <xdr:nvSpPr>
        <xdr:cNvPr id="1" name="Oval 12"/>
        <xdr:cNvSpPr>
          <a:spLocks/>
        </xdr:cNvSpPr>
      </xdr:nvSpPr>
      <xdr:spPr>
        <a:xfrm>
          <a:off x="717232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15</xdr:col>
      <xdr:colOff>0</xdr:colOff>
      <xdr:row>6</xdr:row>
      <xdr:rowOff>85725</xdr:rowOff>
    </xdr:to>
    <xdr:sp macro="[1]!eval_layout">
      <xdr:nvSpPr>
        <xdr:cNvPr id="2" name="Oval 13"/>
        <xdr:cNvSpPr>
          <a:spLocks/>
        </xdr:cNvSpPr>
      </xdr:nvSpPr>
      <xdr:spPr>
        <a:xfrm>
          <a:off x="860107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5</xdr:row>
      <xdr:rowOff>0</xdr:rowOff>
    </xdr:from>
    <xdr:to>
      <xdr:col>20</xdr:col>
      <xdr:colOff>0</xdr:colOff>
      <xdr:row>6</xdr:row>
      <xdr:rowOff>85725</xdr:rowOff>
    </xdr:to>
    <xdr:sp macro="[1]!show_flow_lines">
      <xdr:nvSpPr>
        <xdr:cNvPr id="3" name="Oval 14"/>
        <xdr:cNvSpPr>
          <a:spLocks/>
        </xdr:cNvSpPr>
      </xdr:nvSpPr>
      <xdr:spPr>
        <a:xfrm>
          <a:off x="1002982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0</xdr:rowOff>
    </xdr:from>
    <xdr:to>
      <xdr:col>10</xdr:col>
      <xdr:colOff>0</xdr:colOff>
      <xdr:row>8</xdr:row>
      <xdr:rowOff>85725</xdr:rowOff>
    </xdr:to>
    <xdr:sp macro="[1]!layout_main">
      <xdr:nvSpPr>
        <xdr:cNvPr id="4" name="Oval 15"/>
        <xdr:cNvSpPr>
          <a:spLocks/>
        </xdr:cNvSpPr>
      </xdr:nvSpPr>
      <xdr:spPr>
        <a:xfrm>
          <a:off x="717232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15</xdr:col>
      <xdr:colOff>0</xdr:colOff>
      <xdr:row>8</xdr:row>
      <xdr:rowOff>85725</xdr:rowOff>
    </xdr:to>
    <xdr:sp macro="[1]!Forced_Switch">
      <xdr:nvSpPr>
        <xdr:cNvPr id="5" name="Oval 16"/>
        <xdr:cNvSpPr>
          <a:spLocks/>
        </xdr:cNvSpPr>
      </xdr:nvSpPr>
      <xdr:spPr>
        <a:xfrm>
          <a:off x="860107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0</xdr:rowOff>
    </xdr:from>
    <xdr:to>
      <xdr:col>20</xdr:col>
      <xdr:colOff>0</xdr:colOff>
      <xdr:row>8</xdr:row>
      <xdr:rowOff>85725</xdr:rowOff>
    </xdr:to>
    <xdr:sp macro="[1]!layout_new_plant">
      <xdr:nvSpPr>
        <xdr:cNvPr id="6" name="Oval 17"/>
        <xdr:cNvSpPr>
          <a:spLocks/>
        </xdr:cNvSpPr>
      </xdr:nvSpPr>
      <xdr:spPr>
        <a:xfrm>
          <a:off x="1002982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</xdr:row>
      <xdr:rowOff>0</xdr:rowOff>
    </xdr:from>
    <xdr:to>
      <xdr:col>10</xdr:col>
      <xdr:colOff>0</xdr:colOff>
      <xdr:row>6</xdr:row>
      <xdr:rowOff>85725</xdr:rowOff>
    </xdr:to>
    <xdr:sp macro="[1]!col_layout_initial">
      <xdr:nvSpPr>
        <xdr:cNvPr id="1" name="Oval 7"/>
        <xdr:cNvSpPr>
          <a:spLocks/>
        </xdr:cNvSpPr>
      </xdr:nvSpPr>
      <xdr:spPr>
        <a:xfrm>
          <a:off x="717232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15</xdr:col>
      <xdr:colOff>0</xdr:colOff>
      <xdr:row>6</xdr:row>
      <xdr:rowOff>85725</xdr:rowOff>
    </xdr:to>
    <xdr:sp macro="[1]!eval_layout">
      <xdr:nvSpPr>
        <xdr:cNvPr id="2" name="Oval 8"/>
        <xdr:cNvSpPr>
          <a:spLocks/>
        </xdr:cNvSpPr>
      </xdr:nvSpPr>
      <xdr:spPr>
        <a:xfrm>
          <a:off x="860107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5</xdr:row>
      <xdr:rowOff>0</xdr:rowOff>
    </xdr:from>
    <xdr:to>
      <xdr:col>20</xdr:col>
      <xdr:colOff>0</xdr:colOff>
      <xdr:row>6</xdr:row>
      <xdr:rowOff>85725</xdr:rowOff>
    </xdr:to>
    <xdr:sp macro="[1]!show_flow_lines">
      <xdr:nvSpPr>
        <xdr:cNvPr id="3" name="Oval 9"/>
        <xdr:cNvSpPr>
          <a:spLocks/>
        </xdr:cNvSpPr>
      </xdr:nvSpPr>
      <xdr:spPr>
        <a:xfrm>
          <a:off x="10029825" y="89535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0</xdr:rowOff>
    </xdr:from>
    <xdr:to>
      <xdr:col>10</xdr:col>
      <xdr:colOff>0</xdr:colOff>
      <xdr:row>8</xdr:row>
      <xdr:rowOff>85725</xdr:rowOff>
    </xdr:to>
    <xdr:sp macro="[1]!layout_main">
      <xdr:nvSpPr>
        <xdr:cNvPr id="4" name="Oval 10"/>
        <xdr:cNvSpPr>
          <a:spLocks/>
        </xdr:cNvSpPr>
      </xdr:nvSpPr>
      <xdr:spPr>
        <a:xfrm>
          <a:off x="717232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15</xdr:col>
      <xdr:colOff>0</xdr:colOff>
      <xdr:row>8</xdr:row>
      <xdr:rowOff>85725</xdr:rowOff>
    </xdr:to>
    <xdr:sp macro="[1]!Forced_Switch">
      <xdr:nvSpPr>
        <xdr:cNvPr id="5" name="Oval 11"/>
        <xdr:cNvSpPr>
          <a:spLocks/>
        </xdr:cNvSpPr>
      </xdr:nvSpPr>
      <xdr:spPr>
        <a:xfrm>
          <a:off x="860107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0</xdr:rowOff>
    </xdr:from>
    <xdr:to>
      <xdr:col>20</xdr:col>
      <xdr:colOff>0</xdr:colOff>
      <xdr:row>8</xdr:row>
      <xdr:rowOff>85725</xdr:rowOff>
    </xdr:to>
    <xdr:sp macro="[1]!layout_new_plant">
      <xdr:nvSpPr>
        <xdr:cNvPr id="6" name="Oval 12"/>
        <xdr:cNvSpPr>
          <a:spLocks/>
        </xdr:cNvSpPr>
      </xdr:nvSpPr>
      <xdr:spPr>
        <a:xfrm>
          <a:off x="10029825" y="1219200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0</xdr:rowOff>
    </xdr:from>
    <xdr:to>
      <xdr:col>4</xdr:col>
      <xdr:colOff>0</xdr:colOff>
      <xdr:row>3</xdr:row>
      <xdr:rowOff>85725</xdr:rowOff>
    </xdr:to>
    <xdr:sp macro="[1]!transition">
      <xdr:nvSpPr>
        <xdr:cNvPr id="1" name="Oval 2"/>
        <xdr:cNvSpPr>
          <a:spLocks/>
        </xdr:cNvSpPr>
      </xdr:nvSpPr>
      <xdr:spPr>
        <a:xfrm>
          <a:off x="2619375" y="447675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0</xdr:rowOff>
    </xdr:from>
    <xdr:to>
      <xdr:col>4</xdr:col>
      <xdr:colOff>0</xdr:colOff>
      <xdr:row>3</xdr:row>
      <xdr:rowOff>85725</xdr:rowOff>
    </xdr:to>
    <xdr:sp macro="[1]!transition">
      <xdr:nvSpPr>
        <xdr:cNvPr id="1" name="Oval 3"/>
        <xdr:cNvSpPr>
          <a:spLocks/>
        </xdr:cNvSpPr>
      </xdr:nvSpPr>
      <xdr:spPr>
        <a:xfrm>
          <a:off x="2619375" y="447675"/>
          <a:ext cx="219075" cy="24765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layou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ol_layout_initial"/>
      <definedName name="eval_layout"/>
      <definedName name="Forced_Switch"/>
      <definedName name="layout_main"/>
      <definedName name="layout_make_comb"/>
      <definedName name="layout_new_plant"/>
      <definedName name="layout_search_comb"/>
      <definedName name="show_flow_lines"/>
      <definedName name="transi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.utexas.edu/~jensen/ORMM/omie/computation/unit/lay_add/lay_add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" sqref="A1"/>
    </sheetView>
  </sheetViews>
  <sheetFormatPr defaultColWidth="11.00390625" defaultRowHeight="12.75"/>
  <cols>
    <col min="1" max="2" width="9.25390625" style="55" customWidth="1"/>
    <col min="3" max="3" width="84.75390625" style="55" customWidth="1"/>
    <col min="4" max="16384" width="9.25390625" style="55" customWidth="1"/>
  </cols>
  <sheetData>
    <row r="1" spans="1:3" ht="12.75">
      <c r="A1" s="52"/>
      <c r="B1" s="53"/>
      <c r="C1" s="54"/>
    </row>
    <row r="2" spans="1:3" ht="21">
      <c r="A2" s="52"/>
      <c r="B2" s="53"/>
      <c r="C2" s="56" t="s">
        <v>100</v>
      </c>
    </row>
    <row r="3" spans="1:3" ht="12.75">
      <c r="A3" s="52"/>
      <c r="B3" s="53"/>
      <c r="C3" s="57" t="s">
        <v>101</v>
      </c>
    </row>
    <row r="4" spans="1:3" ht="12.75">
      <c r="A4" s="52"/>
      <c r="B4" s="53"/>
      <c r="C4" s="54"/>
    </row>
    <row r="5" spans="1:3" ht="18">
      <c r="A5" s="52"/>
      <c r="B5" s="53"/>
      <c r="C5" s="58" t="s">
        <v>102</v>
      </c>
    </row>
    <row r="6" spans="1:3" ht="12.75">
      <c r="A6" s="52"/>
      <c r="B6" s="53" t="s">
        <v>103</v>
      </c>
      <c r="C6" s="59" t="s">
        <v>104</v>
      </c>
    </row>
    <row r="7" spans="1:3" ht="25.5">
      <c r="A7" s="52"/>
      <c r="B7" s="53" t="s">
        <v>103</v>
      </c>
      <c r="C7" s="59" t="s">
        <v>105</v>
      </c>
    </row>
    <row r="8" spans="1:3" ht="12.75">
      <c r="A8" s="52"/>
      <c r="B8" s="53" t="s">
        <v>103</v>
      </c>
      <c r="C8" s="60" t="s">
        <v>106</v>
      </c>
    </row>
  </sheetData>
  <hyperlinks>
    <hyperlink ref="C3" r:id="rId1" display="http://www.me.utexas.edu/~jensen/ORMM/omie/computation/unit/lay_add/lay_add.html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75390625" style="0" customWidth="1"/>
    <col min="8" max="9" width="5.75390625" style="0" customWidth="1"/>
    <col min="10" max="24" width="3.75390625" style="0" customWidth="1"/>
    <col min="25" max="31" width="5.75390625" style="0" customWidth="1"/>
    <col min="32" max="32" width="8.125" style="0" bestFit="1" customWidth="1"/>
    <col min="33" max="16384" width="5.75390625" style="0" customWidth="1"/>
  </cols>
  <sheetData>
    <row r="1" ht="19.5">
      <c r="A1" s="5" t="s">
        <v>43</v>
      </c>
    </row>
    <row r="3" spans="1:5" ht="12.75">
      <c r="A3" s="1" t="s">
        <v>1</v>
      </c>
      <c r="B3" s="4" t="str">
        <f>Production_name</f>
        <v>Production</v>
      </c>
      <c r="D3" s="1" t="s">
        <v>48</v>
      </c>
      <c r="E3" s="4" t="s">
        <v>54</v>
      </c>
    </row>
    <row r="4" spans="1:21" ht="12.75">
      <c r="A4" s="1" t="s">
        <v>3</v>
      </c>
      <c r="B4" s="4">
        <f>Production_number</f>
        <v>10</v>
      </c>
      <c r="D4" s="1" t="s">
        <v>49</v>
      </c>
      <c r="E4" s="4" t="s">
        <v>55</v>
      </c>
      <c r="P4" s="14" t="s">
        <v>64</v>
      </c>
      <c r="U4" s="14" t="s">
        <v>65</v>
      </c>
    </row>
    <row r="5" spans="1:5" ht="12.75">
      <c r="A5" s="1" t="s">
        <v>44</v>
      </c>
      <c r="B5" s="4">
        <f>Production_length</f>
        <v>11</v>
      </c>
      <c r="D5" s="1" t="s">
        <v>50</v>
      </c>
      <c r="E5" s="4" t="s">
        <v>56</v>
      </c>
    </row>
    <row r="6" spans="1:21" ht="12.75">
      <c r="A6" s="1" t="s">
        <v>45</v>
      </c>
      <c r="B6" s="4">
        <f>Production_width</f>
        <v>15</v>
      </c>
      <c r="D6" s="1" t="s">
        <v>51</v>
      </c>
      <c r="E6" s="4" t="s">
        <v>57</v>
      </c>
      <c r="K6" s="14" t="s">
        <v>66</v>
      </c>
      <c r="P6" s="14" t="s">
        <v>67</v>
      </c>
      <c r="U6" s="14" t="s">
        <v>68</v>
      </c>
    </row>
    <row r="7" spans="1:5" ht="12.75">
      <c r="A7" s="1" t="s">
        <v>46</v>
      </c>
      <c r="B7" s="4">
        <f>Production_parea</f>
        <v>165</v>
      </c>
      <c r="D7" s="1" t="s">
        <v>52</v>
      </c>
      <c r="E7" s="4">
        <v>4</v>
      </c>
    </row>
    <row r="8" spans="1:28" ht="12.75">
      <c r="A8" s="1" t="s">
        <v>47</v>
      </c>
      <c r="B8" s="16">
        <v>3505.5</v>
      </c>
      <c r="D8" s="1" t="s">
        <v>53</v>
      </c>
      <c r="E8" s="4">
        <v>4</v>
      </c>
      <c r="K8" s="14" t="s">
        <v>69</v>
      </c>
      <c r="P8" s="14" t="s">
        <v>70</v>
      </c>
      <c r="U8" s="14" t="s">
        <v>71</v>
      </c>
      <c r="AA8" s="1" t="s">
        <v>72</v>
      </c>
      <c r="AB8" s="39">
        <v>4640.2001953125</v>
      </c>
    </row>
    <row r="9" spans="9:31" ht="22.5" customHeight="1">
      <c r="I9">
        <v>3505.5</v>
      </c>
      <c r="J9" t="s">
        <v>81</v>
      </c>
      <c r="AD9" s="1" t="s">
        <v>79</v>
      </c>
      <c r="AE9">
        <v>6</v>
      </c>
    </row>
    <row r="10" spans="1:33" ht="12.75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54</v>
      </c>
      <c r="J10">
        <v>1</v>
      </c>
      <c r="K10">
        <v>2</v>
      </c>
      <c r="L10">
        <v>3</v>
      </c>
      <c r="M10">
        <v>4</v>
      </c>
      <c r="N10">
        <v>5</v>
      </c>
      <c r="O10">
        <v>6</v>
      </c>
      <c r="P10">
        <v>7</v>
      </c>
      <c r="Q10">
        <v>8</v>
      </c>
      <c r="R10">
        <v>9</v>
      </c>
      <c r="S10">
        <v>10</v>
      </c>
      <c r="T10">
        <v>11</v>
      </c>
      <c r="U10">
        <v>12</v>
      </c>
      <c r="V10">
        <v>13</v>
      </c>
      <c r="W10">
        <v>14</v>
      </c>
      <c r="X10">
        <v>15</v>
      </c>
      <c r="AA10" s="38" t="s">
        <v>73</v>
      </c>
      <c r="AB10" s="38" t="s">
        <v>74</v>
      </c>
      <c r="AD10" t="s">
        <v>75</v>
      </c>
      <c r="AE10" t="s">
        <v>76</v>
      </c>
      <c r="AF10" t="s">
        <v>77</v>
      </c>
      <c r="AG10" t="s">
        <v>78</v>
      </c>
    </row>
    <row r="11" spans="1:33" ht="25.5" customHeight="1">
      <c r="A11" s="3" t="str">
        <f>INDEX(Production_depts,1,1)</f>
        <v>D 1</v>
      </c>
      <c r="B11" s="17">
        <v>1</v>
      </c>
      <c r="C11" s="3">
        <f>INDEX(Production_darea,1,1)</f>
        <v>5</v>
      </c>
      <c r="D11" s="26">
        <v>5</v>
      </c>
      <c r="E11" s="26">
        <v>1.7000000476837158</v>
      </c>
      <c r="F11" s="26">
        <v>5.699999809265137</v>
      </c>
      <c r="G11" s="26">
        <v>4</v>
      </c>
      <c r="I11">
        <v>1</v>
      </c>
      <c r="J11" s="30">
        <v>3</v>
      </c>
      <c r="K11" s="30">
        <v>3</v>
      </c>
      <c r="L11" s="30">
        <v>3</v>
      </c>
      <c r="M11" s="30">
        <v>3</v>
      </c>
      <c r="N11" s="32">
        <v>5</v>
      </c>
      <c r="O11" s="32">
        <v>5</v>
      </c>
      <c r="P11" s="32">
        <v>5</v>
      </c>
      <c r="Q11" s="32">
        <v>5</v>
      </c>
      <c r="R11" s="32">
        <v>5</v>
      </c>
      <c r="S11" s="32">
        <v>5</v>
      </c>
      <c r="T11" s="32">
        <v>5</v>
      </c>
      <c r="U11" s="32">
        <v>5</v>
      </c>
      <c r="V11" s="27">
        <v>0</v>
      </c>
      <c r="W11" s="27">
        <v>0</v>
      </c>
      <c r="X11" s="27">
        <v>0</v>
      </c>
      <c r="AA11" s="2">
        <v>1</v>
      </c>
      <c r="AB11" s="26">
        <v>4</v>
      </c>
      <c r="AD11">
        <v>1</v>
      </c>
      <c r="AE11" s="40" t="s">
        <v>80</v>
      </c>
      <c r="AF11" s="40" t="s">
        <v>84</v>
      </c>
      <c r="AG11" s="40">
        <v>4261.80029296875</v>
      </c>
    </row>
    <row r="12" spans="1:33" ht="25.5" customHeight="1">
      <c r="A12" s="3" t="str">
        <f>INDEX(Production_depts,2,1)</f>
        <v>D 2</v>
      </c>
      <c r="B12" s="18">
        <v>2</v>
      </c>
      <c r="C12" s="3">
        <f>INDEX(Production_darea,2,1)</f>
        <v>10</v>
      </c>
      <c r="D12" s="26">
        <v>10</v>
      </c>
      <c r="E12" s="26">
        <v>6</v>
      </c>
      <c r="F12" s="26">
        <v>7</v>
      </c>
      <c r="G12" s="26">
        <v>5</v>
      </c>
      <c r="I12">
        <v>2</v>
      </c>
      <c r="J12" s="30">
        <v>3</v>
      </c>
      <c r="K12" s="30">
        <v>3</v>
      </c>
      <c r="L12" s="30">
        <v>3</v>
      </c>
      <c r="M12" s="30">
        <v>3</v>
      </c>
      <c r="N12" s="32">
        <v>5</v>
      </c>
      <c r="O12" s="32">
        <v>5</v>
      </c>
      <c r="P12" s="32">
        <v>5</v>
      </c>
      <c r="Q12" s="32">
        <v>5</v>
      </c>
      <c r="R12" s="32">
        <v>5</v>
      </c>
      <c r="S12" s="32">
        <v>5</v>
      </c>
      <c r="T12" s="32">
        <v>5</v>
      </c>
      <c r="U12" s="32">
        <v>5</v>
      </c>
      <c r="V12" s="37">
        <v>10</v>
      </c>
      <c r="W12" s="27">
        <v>0</v>
      </c>
      <c r="X12" s="27">
        <v>0</v>
      </c>
      <c r="AA12" s="2">
        <v>2</v>
      </c>
      <c r="AB12" s="26">
        <v>5</v>
      </c>
      <c r="AD12">
        <v>2</v>
      </c>
      <c r="AE12" s="40" t="s">
        <v>80</v>
      </c>
      <c r="AF12" s="40" t="s">
        <v>85</v>
      </c>
      <c r="AG12" s="40">
        <v>4073.133544921875</v>
      </c>
    </row>
    <row r="13" spans="1:33" ht="25.5" customHeight="1">
      <c r="A13" s="3" t="str">
        <f>INDEX(Production_depts,3,1)</f>
        <v>D 3</v>
      </c>
      <c r="B13" s="19">
        <v>3</v>
      </c>
      <c r="C13" s="3">
        <f>INDEX(Production_darea,3,1)</f>
        <v>20</v>
      </c>
      <c r="D13" s="26">
        <v>20</v>
      </c>
      <c r="E13" s="26">
        <v>2</v>
      </c>
      <c r="F13" s="26">
        <v>2.5</v>
      </c>
      <c r="G13" s="26">
        <v>9</v>
      </c>
      <c r="I13">
        <v>3</v>
      </c>
      <c r="J13" s="30">
        <v>3</v>
      </c>
      <c r="K13" s="30">
        <v>3</v>
      </c>
      <c r="L13" s="30">
        <v>3</v>
      </c>
      <c r="M13" s="30">
        <v>3</v>
      </c>
      <c r="N13" s="34">
        <v>7</v>
      </c>
      <c r="O13" s="34">
        <v>7</v>
      </c>
      <c r="P13" s="34">
        <v>7</v>
      </c>
      <c r="Q13" s="34">
        <v>7</v>
      </c>
      <c r="R13" s="32">
        <v>5</v>
      </c>
      <c r="S13" s="32">
        <v>5</v>
      </c>
      <c r="T13" s="32">
        <v>5</v>
      </c>
      <c r="U13" s="32">
        <v>5</v>
      </c>
      <c r="V13" s="37">
        <v>10</v>
      </c>
      <c r="W13" s="37">
        <v>10</v>
      </c>
      <c r="X13" s="37">
        <v>10</v>
      </c>
      <c r="AA13" s="2">
        <v>3</v>
      </c>
      <c r="AB13" s="26">
        <v>9</v>
      </c>
      <c r="AD13">
        <v>3</v>
      </c>
      <c r="AE13" s="40" t="s">
        <v>80</v>
      </c>
      <c r="AF13" s="40" t="s">
        <v>86</v>
      </c>
      <c r="AG13" s="40">
        <v>3745.60009765625</v>
      </c>
    </row>
    <row r="14" spans="1:33" ht="25.5" customHeight="1">
      <c r="A14" s="3" t="str">
        <f>INDEX(Production_depts,4,1)</f>
        <v>D 4</v>
      </c>
      <c r="B14" s="3">
        <v>4</v>
      </c>
      <c r="C14" s="3">
        <f>INDEX(Production_darea,4,1)</f>
        <v>30</v>
      </c>
      <c r="D14" s="26">
        <v>30</v>
      </c>
      <c r="E14" s="26">
        <v>3.4666666984558105</v>
      </c>
      <c r="F14" s="26">
        <v>8.966666221618652</v>
      </c>
      <c r="G14" s="26">
        <v>3</v>
      </c>
      <c r="I14">
        <v>4</v>
      </c>
      <c r="J14" s="30">
        <v>3</v>
      </c>
      <c r="K14" s="30">
        <v>3</v>
      </c>
      <c r="L14" s="30">
        <v>3</v>
      </c>
      <c r="M14" s="30">
        <v>3</v>
      </c>
      <c r="N14" s="33">
        <v>6</v>
      </c>
      <c r="O14" s="33">
        <v>6</v>
      </c>
      <c r="P14" s="33">
        <v>6</v>
      </c>
      <c r="Q14" s="34">
        <v>7</v>
      </c>
      <c r="R14" s="35">
        <v>8</v>
      </c>
      <c r="S14" s="35">
        <v>8</v>
      </c>
      <c r="T14" s="35">
        <v>8</v>
      </c>
      <c r="U14" s="35">
        <v>8</v>
      </c>
      <c r="V14" s="37">
        <v>10</v>
      </c>
      <c r="W14" s="37">
        <v>10</v>
      </c>
      <c r="X14" s="37">
        <v>10</v>
      </c>
      <c r="AA14" s="2">
        <v>4</v>
      </c>
      <c r="AB14" s="26">
        <v>3</v>
      </c>
      <c r="AD14">
        <v>4</v>
      </c>
      <c r="AE14" s="40" t="s">
        <v>80</v>
      </c>
      <c r="AF14" s="40" t="s">
        <v>82</v>
      </c>
      <c r="AG14" s="40">
        <v>3614.60009765625</v>
      </c>
    </row>
    <row r="15" spans="1:33" ht="25.5" customHeight="1">
      <c r="A15" s="3" t="str">
        <f>INDEX(Production_depts,5,1)</f>
        <v>D 5</v>
      </c>
      <c r="B15" s="20">
        <v>5</v>
      </c>
      <c r="C15" s="3">
        <f>INDEX(Production_darea,5,1)</f>
        <v>20</v>
      </c>
      <c r="D15" s="26">
        <v>20</v>
      </c>
      <c r="E15" s="26">
        <v>8.399999618530273</v>
      </c>
      <c r="F15" s="26">
        <v>1.2999999523162842</v>
      </c>
      <c r="G15" s="26">
        <v>10</v>
      </c>
      <c r="I15">
        <v>5</v>
      </c>
      <c r="J15" s="30">
        <v>3</v>
      </c>
      <c r="K15" s="30">
        <v>3</v>
      </c>
      <c r="L15" s="30">
        <v>3</v>
      </c>
      <c r="M15" s="30">
        <v>3</v>
      </c>
      <c r="N15" s="33">
        <v>6</v>
      </c>
      <c r="O15" s="33">
        <v>6</v>
      </c>
      <c r="P15" s="33">
        <v>6</v>
      </c>
      <c r="Q15" s="33">
        <v>6</v>
      </c>
      <c r="R15" s="35">
        <v>8</v>
      </c>
      <c r="S15" s="35">
        <v>8</v>
      </c>
      <c r="T15" s="35">
        <v>8</v>
      </c>
      <c r="U15" s="35">
        <v>8</v>
      </c>
      <c r="V15" s="37">
        <v>10</v>
      </c>
      <c r="W15" s="37">
        <v>10</v>
      </c>
      <c r="X15" s="37">
        <v>10</v>
      </c>
      <c r="AA15" s="2">
        <v>5</v>
      </c>
      <c r="AB15" s="26">
        <v>10</v>
      </c>
      <c r="AD15">
        <v>5</v>
      </c>
      <c r="AE15" s="40" t="s">
        <v>80</v>
      </c>
      <c r="AF15" s="40" t="s">
        <v>87</v>
      </c>
      <c r="AG15" s="40">
        <v>3517.300048828125</v>
      </c>
    </row>
    <row r="16" spans="1:33" ht="25.5" customHeight="1">
      <c r="A16" s="3" t="str">
        <f>INDEX(Production_depts,6,1)</f>
        <v>D 6</v>
      </c>
      <c r="B16" s="21">
        <v>6</v>
      </c>
      <c r="C16" s="3">
        <f>INDEX(Production_darea,6,1)</f>
        <v>10</v>
      </c>
      <c r="D16" s="26">
        <v>10</v>
      </c>
      <c r="E16" s="26">
        <v>6</v>
      </c>
      <c r="F16" s="26">
        <v>4.5</v>
      </c>
      <c r="G16" s="26">
        <v>2</v>
      </c>
      <c r="I16">
        <v>6</v>
      </c>
      <c r="J16" s="28">
        <v>1</v>
      </c>
      <c r="K16" s="28">
        <v>1</v>
      </c>
      <c r="L16" s="28">
        <v>1</v>
      </c>
      <c r="M16" s="28">
        <v>1</v>
      </c>
      <c r="N16" s="29">
        <v>2</v>
      </c>
      <c r="O16" s="33">
        <v>6</v>
      </c>
      <c r="P16" s="33">
        <v>6</v>
      </c>
      <c r="Q16" s="33">
        <v>6</v>
      </c>
      <c r="R16" s="35">
        <v>8</v>
      </c>
      <c r="S16" s="35">
        <v>8</v>
      </c>
      <c r="T16" s="36">
        <v>9</v>
      </c>
      <c r="U16" s="36">
        <v>9</v>
      </c>
      <c r="V16" s="37">
        <v>10</v>
      </c>
      <c r="W16" s="37">
        <v>10</v>
      </c>
      <c r="X16" s="37">
        <v>10</v>
      </c>
      <c r="AA16" s="2">
        <v>6</v>
      </c>
      <c r="AB16" s="26">
        <v>2</v>
      </c>
      <c r="AD16">
        <v>6</v>
      </c>
      <c r="AE16" s="40" t="s">
        <v>80</v>
      </c>
      <c r="AF16" s="40" t="s">
        <v>83</v>
      </c>
      <c r="AG16" s="40">
        <v>3505.5</v>
      </c>
    </row>
    <row r="17" spans="1:28" ht="25.5" customHeight="1">
      <c r="A17" s="3" t="str">
        <f>INDEX(Production_depts,7,1)</f>
        <v>D 7</v>
      </c>
      <c r="B17" s="22">
        <v>7</v>
      </c>
      <c r="C17" s="3">
        <f>INDEX(Production_darea,7,1)</f>
        <v>5</v>
      </c>
      <c r="D17" s="26">
        <v>5</v>
      </c>
      <c r="E17" s="26">
        <v>6.300000190734863</v>
      </c>
      <c r="F17" s="26">
        <v>2.700000047683716</v>
      </c>
      <c r="G17" s="26">
        <v>1</v>
      </c>
      <c r="I17">
        <v>7</v>
      </c>
      <c r="J17" s="28">
        <v>1</v>
      </c>
      <c r="K17" s="31">
        <v>4</v>
      </c>
      <c r="L17" s="31">
        <v>4</v>
      </c>
      <c r="M17" s="31">
        <v>4</v>
      </c>
      <c r="N17" s="29">
        <v>2</v>
      </c>
      <c r="O17" s="29">
        <v>2</v>
      </c>
      <c r="P17" s="29">
        <v>2</v>
      </c>
      <c r="Q17" s="29">
        <v>2</v>
      </c>
      <c r="R17" s="36">
        <v>9</v>
      </c>
      <c r="S17" s="36">
        <v>9</v>
      </c>
      <c r="T17" s="36">
        <v>9</v>
      </c>
      <c r="U17" s="36">
        <v>9</v>
      </c>
      <c r="V17" s="37">
        <v>10</v>
      </c>
      <c r="W17" s="37">
        <v>10</v>
      </c>
      <c r="X17" s="37">
        <v>10</v>
      </c>
      <c r="AA17" s="2">
        <v>7</v>
      </c>
      <c r="AB17" s="26">
        <v>1</v>
      </c>
    </row>
    <row r="18" spans="1:28" ht="25.5" customHeight="1">
      <c r="A18" s="3" t="str">
        <f>INDEX(Production_depts,8,1)</f>
        <v>D 8</v>
      </c>
      <c r="B18" s="23">
        <v>8</v>
      </c>
      <c r="C18" s="3">
        <f>INDEX(Production_darea,8,1)</f>
        <v>10</v>
      </c>
      <c r="D18" s="26">
        <v>10</v>
      </c>
      <c r="E18" s="26">
        <v>9.800000190734863</v>
      </c>
      <c r="F18" s="26">
        <v>4.300000190734863</v>
      </c>
      <c r="G18" s="26">
        <v>7</v>
      </c>
      <c r="I18">
        <v>8</v>
      </c>
      <c r="J18" s="31">
        <v>4</v>
      </c>
      <c r="K18" s="31">
        <v>4</v>
      </c>
      <c r="L18" s="31">
        <v>4</v>
      </c>
      <c r="M18" s="31">
        <v>4</v>
      </c>
      <c r="N18" s="29">
        <v>2</v>
      </c>
      <c r="O18" s="29">
        <v>2</v>
      </c>
      <c r="P18" s="29">
        <v>2</v>
      </c>
      <c r="Q18" s="29">
        <v>2</v>
      </c>
      <c r="R18" s="36">
        <v>9</v>
      </c>
      <c r="S18" s="36">
        <v>9</v>
      </c>
      <c r="T18" s="36">
        <v>9</v>
      </c>
      <c r="U18" s="36">
        <v>9</v>
      </c>
      <c r="V18" s="37">
        <v>10</v>
      </c>
      <c r="W18" s="37">
        <v>10</v>
      </c>
      <c r="X18" s="37">
        <v>10</v>
      </c>
      <c r="AA18" s="2">
        <v>8</v>
      </c>
      <c r="AB18" s="26">
        <v>7</v>
      </c>
    </row>
    <row r="19" spans="1:28" ht="25.5" customHeight="1">
      <c r="A19" s="3" t="str">
        <f>INDEX(Production_depts,9,1)</f>
        <v>D 9</v>
      </c>
      <c r="B19" s="24">
        <v>9</v>
      </c>
      <c r="C19" s="3">
        <f>INDEX(Production_darea,9,1)</f>
        <v>20</v>
      </c>
      <c r="D19" s="26">
        <v>20</v>
      </c>
      <c r="E19" s="26">
        <v>10</v>
      </c>
      <c r="F19" s="26">
        <v>8</v>
      </c>
      <c r="G19" s="26">
        <v>6</v>
      </c>
      <c r="I19">
        <v>9</v>
      </c>
      <c r="J19" s="31">
        <v>4</v>
      </c>
      <c r="K19" s="31">
        <v>4</v>
      </c>
      <c r="L19" s="31">
        <v>4</v>
      </c>
      <c r="M19" s="31">
        <v>4</v>
      </c>
      <c r="N19" s="31">
        <v>4</v>
      </c>
      <c r="O19" s="31">
        <v>4</v>
      </c>
      <c r="P19" s="31">
        <v>4</v>
      </c>
      <c r="Q19" s="29">
        <v>2</v>
      </c>
      <c r="R19" s="36">
        <v>9</v>
      </c>
      <c r="S19" s="36">
        <v>9</v>
      </c>
      <c r="T19" s="36">
        <v>9</v>
      </c>
      <c r="U19" s="36">
        <v>9</v>
      </c>
      <c r="V19" s="37">
        <v>10</v>
      </c>
      <c r="W19" s="37">
        <v>10</v>
      </c>
      <c r="X19" s="37">
        <v>10</v>
      </c>
      <c r="AA19" s="2">
        <v>9</v>
      </c>
      <c r="AB19" s="26">
        <v>6</v>
      </c>
    </row>
    <row r="20" spans="1:28" ht="25.5" customHeight="1">
      <c r="A20" s="3" t="str">
        <f>INDEX(Production_depts,10,1)</f>
        <v>D 10</v>
      </c>
      <c r="B20" s="25">
        <v>10</v>
      </c>
      <c r="C20" s="3">
        <f>INDEX(Production_darea,10,1)</f>
        <v>30</v>
      </c>
      <c r="D20" s="26">
        <v>30</v>
      </c>
      <c r="E20" s="26">
        <v>13.300000190734863</v>
      </c>
      <c r="F20" s="26">
        <v>6.599999904632568</v>
      </c>
      <c r="G20" s="26">
        <v>8</v>
      </c>
      <c r="I20">
        <v>10</v>
      </c>
      <c r="J20" s="31">
        <v>4</v>
      </c>
      <c r="K20" s="31">
        <v>4</v>
      </c>
      <c r="L20" s="31">
        <v>4</v>
      </c>
      <c r="M20" s="31">
        <v>4</v>
      </c>
      <c r="N20" s="31">
        <v>4</v>
      </c>
      <c r="O20" s="31">
        <v>4</v>
      </c>
      <c r="P20" s="31">
        <v>4</v>
      </c>
      <c r="Q20" s="31">
        <v>4</v>
      </c>
      <c r="R20" s="36">
        <v>9</v>
      </c>
      <c r="S20" s="36">
        <v>9</v>
      </c>
      <c r="T20" s="36">
        <v>9</v>
      </c>
      <c r="U20" s="36">
        <v>9</v>
      </c>
      <c r="V20" s="37">
        <v>10</v>
      </c>
      <c r="W20" s="37">
        <v>10</v>
      </c>
      <c r="X20" s="37">
        <v>10</v>
      </c>
      <c r="AA20" s="2">
        <v>10</v>
      </c>
      <c r="AB20" s="26">
        <v>8</v>
      </c>
    </row>
    <row r="21" spans="9:24" ht="25.5" customHeight="1">
      <c r="I21">
        <v>11</v>
      </c>
      <c r="J21" s="31">
        <v>4</v>
      </c>
      <c r="K21" s="31">
        <v>4</v>
      </c>
      <c r="L21" s="31">
        <v>4</v>
      </c>
      <c r="M21" s="31">
        <v>4</v>
      </c>
      <c r="N21" s="31">
        <v>4</v>
      </c>
      <c r="O21" s="31">
        <v>4</v>
      </c>
      <c r="P21" s="31">
        <v>4</v>
      </c>
      <c r="Q21" s="31">
        <v>4</v>
      </c>
      <c r="R21" s="36">
        <v>9</v>
      </c>
      <c r="S21" s="36">
        <v>9</v>
      </c>
      <c r="T21" s="37">
        <v>10</v>
      </c>
      <c r="U21" s="37">
        <v>10</v>
      </c>
      <c r="V21" s="37">
        <v>10</v>
      </c>
      <c r="W21" s="37">
        <v>10</v>
      </c>
      <c r="X21" s="37">
        <v>10</v>
      </c>
    </row>
    <row r="22" ht="25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7.00390625" style="0" bestFit="1" customWidth="1"/>
    <col min="2" max="16384" width="6.75390625" style="0" customWidth="1"/>
  </cols>
  <sheetData>
    <row r="1" ht="22.5">
      <c r="A1" s="15" t="s">
        <v>0</v>
      </c>
    </row>
    <row r="2" spans="1:2" ht="12.75">
      <c r="A2" s="1" t="s">
        <v>1</v>
      </c>
      <c r="B2" s="4" t="s">
        <v>2</v>
      </c>
    </row>
    <row r="3" spans="1:5" ht="12.75">
      <c r="A3" s="1" t="s">
        <v>3</v>
      </c>
      <c r="B3" s="4">
        <v>10</v>
      </c>
      <c r="E3" s="14" t="s">
        <v>42</v>
      </c>
    </row>
    <row r="4" spans="1:2" ht="12.75">
      <c r="A4" s="1" t="s">
        <v>4</v>
      </c>
      <c r="B4" s="4">
        <v>0</v>
      </c>
    </row>
    <row r="5" spans="1:2" ht="12.75">
      <c r="A5" s="1" t="s">
        <v>5</v>
      </c>
      <c r="B5" s="4" t="s">
        <v>6</v>
      </c>
    </row>
    <row r="8" ht="19.5">
      <c r="A8" s="5" t="s">
        <v>7</v>
      </c>
    </row>
    <row r="10" spans="1:3" ht="12.75">
      <c r="A10" s="1" t="s">
        <v>8</v>
      </c>
      <c r="B10" s="6">
        <v>1</v>
      </c>
      <c r="C10" s="7" t="s">
        <v>9</v>
      </c>
    </row>
    <row r="11" spans="1:3" ht="12.75">
      <c r="A11" s="1" t="s">
        <v>10</v>
      </c>
      <c r="B11" s="6">
        <v>11</v>
      </c>
      <c r="C11" s="7">
        <f>ROUNDUP(B11/Production_scale,0)</f>
        <v>11</v>
      </c>
    </row>
    <row r="12" spans="1:3" ht="12.75">
      <c r="A12" s="1" t="s">
        <v>11</v>
      </c>
      <c r="B12" s="6">
        <v>15</v>
      </c>
      <c r="C12" s="7">
        <f>ROUNDUP(B12/Production_scale,0)</f>
        <v>15</v>
      </c>
    </row>
    <row r="13" spans="1:3" ht="12.75">
      <c r="A13" s="1" t="s">
        <v>12</v>
      </c>
      <c r="B13" s="7">
        <f>B11*B12</f>
        <v>165</v>
      </c>
      <c r="C13" s="7">
        <f>C11*C12</f>
        <v>165</v>
      </c>
    </row>
    <row r="16" ht="19.5">
      <c r="A16" s="5" t="s">
        <v>13</v>
      </c>
    </row>
    <row r="17" spans="2:5" ht="12.75">
      <c r="B17" s="8" t="s">
        <v>14</v>
      </c>
      <c r="C17" s="8" t="s">
        <v>15</v>
      </c>
      <c r="D17" s="8" t="s">
        <v>16</v>
      </c>
      <c r="E17" s="8" t="s">
        <v>9</v>
      </c>
    </row>
    <row r="18" spans="1:5" ht="12.75">
      <c r="A18" s="1" t="s">
        <v>17</v>
      </c>
      <c r="B18" s="9" t="s">
        <v>27</v>
      </c>
      <c r="C18" s="10" t="s">
        <v>37</v>
      </c>
      <c r="D18" s="10">
        <v>5</v>
      </c>
      <c r="E18" s="11">
        <f>ROUNDUP(D18/(Production_scale)^2,0)</f>
        <v>5</v>
      </c>
    </row>
    <row r="19" spans="1:5" ht="12.75">
      <c r="A19" s="1" t="s">
        <v>18</v>
      </c>
      <c r="B19" s="9" t="s">
        <v>28</v>
      </c>
      <c r="C19" s="10" t="s">
        <v>37</v>
      </c>
      <c r="D19" s="10">
        <v>10</v>
      </c>
      <c r="E19" s="11">
        <f aca="true" t="shared" si="0" ref="E19:E27">ROUNDUP(D19/(Production_scale)^2,0)</f>
        <v>10</v>
      </c>
    </row>
    <row r="20" spans="1:5" ht="12.75">
      <c r="A20" s="1" t="s">
        <v>19</v>
      </c>
      <c r="B20" s="9" t="s">
        <v>29</v>
      </c>
      <c r="C20" s="10" t="s">
        <v>37</v>
      </c>
      <c r="D20" s="10">
        <v>20</v>
      </c>
      <c r="E20" s="11">
        <f t="shared" si="0"/>
        <v>20</v>
      </c>
    </row>
    <row r="21" spans="1:5" ht="12.75">
      <c r="A21" s="1" t="s">
        <v>20</v>
      </c>
      <c r="B21" s="9" t="s">
        <v>30</v>
      </c>
      <c r="C21" s="10" t="s">
        <v>37</v>
      </c>
      <c r="D21" s="10">
        <v>30</v>
      </c>
      <c r="E21" s="11">
        <f t="shared" si="0"/>
        <v>30</v>
      </c>
    </row>
    <row r="22" spans="1:5" ht="12.75">
      <c r="A22" s="1" t="s">
        <v>21</v>
      </c>
      <c r="B22" s="9" t="s">
        <v>31</v>
      </c>
      <c r="C22" s="10" t="s">
        <v>37</v>
      </c>
      <c r="D22" s="10">
        <v>20</v>
      </c>
      <c r="E22" s="11">
        <f t="shared" si="0"/>
        <v>20</v>
      </c>
    </row>
    <row r="23" spans="1:5" ht="12.75">
      <c r="A23" s="1" t="s">
        <v>22</v>
      </c>
      <c r="B23" s="9" t="s">
        <v>32</v>
      </c>
      <c r="C23" s="10" t="s">
        <v>37</v>
      </c>
      <c r="D23" s="10">
        <v>10</v>
      </c>
      <c r="E23" s="11">
        <f t="shared" si="0"/>
        <v>10</v>
      </c>
    </row>
    <row r="24" spans="1:5" ht="12.75">
      <c r="A24" s="1" t="s">
        <v>23</v>
      </c>
      <c r="B24" s="9" t="s">
        <v>33</v>
      </c>
      <c r="C24" s="10" t="s">
        <v>37</v>
      </c>
      <c r="D24" s="10">
        <v>5</v>
      </c>
      <c r="E24" s="11">
        <f t="shared" si="0"/>
        <v>5</v>
      </c>
    </row>
    <row r="25" spans="1:5" ht="12.75">
      <c r="A25" s="1" t="s">
        <v>24</v>
      </c>
      <c r="B25" s="9" t="s">
        <v>34</v>
      </c>
      <c r="C25" s="10" t="s">
        <v>37</v>
      </c>
      <c r="D25" s="10">
        <v>10</v>
      </c>
      <c r="E25" s="11">
        <f t="shared" si="0"/>
        <v>10</v>
      </c>
    </row>
    <row r="26" spans="1:5" ht="12.75">
      <c r="A26" s="1" t="s">
        <v>25</v>
      </c>
      <c r="B26" s="9" t="s">
        <v>35</v>
      </c>
      <c r="C26" s="10" t="s">
        <v>37</v>
      </c>
      <c r="D26" s="10">
        <v>20</v>
      </c>
      <c r="E26" s="11">
        <f t="shared" si="0"/>
        <v>20</v>
      </c>
    </row>
    <row r="27" spans="1:5" ht="12.75">
      <c r="A27" s="1" t="s">
        <v>26</v>
      </c>
      <c r="B27" s="9" t="s">
        <v>36</v>
      </c>
      <c r="C27" s="10" t="s">
        <v>37</v>
      </c>
      <c r="D27" s="10">
        <v>30</v>
      </c>
      <c r="E27" s="11">
        <f t="shared" si="0"/>
        <v>30</v>
      </c>
    </row>
    <row r="30" ht="19.5">
      <c r="A30" s="5" t="s">
        <v>38</v>
      </c>
    </row>
    <row r="31" ht="12.75">
      <c r="B31" s="12" t="s">
        <v>40</v>
      </c>
    </row>
    <row r="32" spans="1:11" ht="12.75">
      <c r="A32" s="13" t="s">
        <v>39</v>
      </c>
      <c r="B32" s="2" t="str">
        <f>INDEX(Production_depts,1)</f>
        <v>D 1</v>
      </c>
      <c r="C32" s="2" t="str">
        <f>INDEX(Production_depts,2)</f>
        <v>D 2</v>
      </c>
      <c r="D32" s="2" t="str">
        <f>INDEX(Production_depts,3)</f>
        <v>D 3</v>
      </c>
      <c r="E32" s="2" t="str">
        <f>INDEX(Production_depts,4)</f>
        <v>D 4</v>
      </c>
      <c r="F32" s="2" t="str">
        <f>INDEX(Production_depts,5)</f>
        <v>D 5</v>
      </c>
      <c r="G32" s="2" t="str">
        <f>INDEX(Production_depts,6)</f>
        <v>D 6</v>
      </c>
      <c r="H32" s="2" t="str">
        <f>INDEX(Production_depts,7)</f>
        <v>D 7</v>
      </c>
      <c r="I32" s="2" t="str">
        <f>INDEX(Production_depts,8)</f>
        <v>D 8</v>
      </c>
      <c r="J32" s="2" t="str">
        <f>INDEX(Production_depts,9)</f>
        <v>D 9</v>
      </c>
      <c r="K32" s="2" t="str">
        <f>INDEX(Production_depts,10)</f>
        <v>D 10</v>
      </c>
    </row>
    <row r="33" spans="1:11" ht="12.75">
      <c r="A33" s="1" t="str">
        <f>INDEX(Production_depts,1)</f>
        <v>D 1</v>
      </c>
      <c r="B33" s="9"/>
      <c r="C33" s="9"/>
      <c r="D33" s="9"/>
      <c r="E33" s="9">
        <v>16</v>
      </c>
      <c r="F33" s="9"/>
      <c r="G33" s="9"/>
      <c r="H33" s="9"/>
      <c r="I33" s="9"/>
      <c r="J33" s="9"/>
      <c r="K33" s="9"/>
    </row>
    <row r="34" spans="1:11" ht="12.75">
      <c r="A34" s="1" t="str">
        <f>INDEX(Production_depts,2)</f>
        <v>D 2</v>
      </c>
      <c r="B34" s="9"/>
      <c r="C34" s="9"/>
      <c r="D34" s="9"/>
      <c r="E34" s="9"/>
      <c r="F34" s="9"/>
      <c r="G34" s="9"/>
      <c r="H34" s="9">
        <v>11</v>
      </c>
      <c r="I34" s="9"/>
      <c r="J34" s="9">
        <v>16</v>
      </c>
      <c r="K34" s="9"/>
    </row>
    <row r="35" spans="1:11" ht="12.75">
      <c r="A35" s="1" t="str">
        <f>INDEX(Production_depts,3)</f>
        <v>D 3</v>
      </c>
      <c r="B35" s="9">
        <v>15</v>
      </c>
      <c r="C35" s="9">
        <v>16</v>
      </c>
      <c r="D35" s="9"/>
      <c r="E35" s="9">
        <v>14</v>
      </c>
      <c r="F35" s="9">
        <v>12</v>
      </c>
      <c r="G35" s="9"/>
      <c r="H35" s="9">
        <v>13</v>
      </c>
      <c r="I35" s="9">
        <v>12</v>
      </c>
      <c r="J35" s="9"/>
      <c r="K35" s="9"/>
    </row>
    <row r="36" spans="1:11" ht="12.75">
      <c r="A36" s="1" t="str">
        <f>INDEX(Production_depts,4)</f>
        <v>D 4</v>
      </c>
      <c r="B36" s="9"/>
      <c r="C36" s="9">
        <v>18</v>
      </c>
      <c r="D36" s="9"/>
      <c r="E36" s="9"/>
      <c r="F36" s="9">
        <v>13</v>
      </c>
      <c r="G36" s="9"/>
      <c r="H36" s="9"/>
      <c r="I36" s="9"/>
      <c r="J36" s="9">
        <v>16</v>
      </c>
      <c r="K36" s="9"/>
    </row>
    <row r="37" spans="1:11" ht="12.75">
      <c r="A37" s="1" t="str">
        <f>INDEX(Production_depts,5)</f>
        <v>D 5</v>
      </c>
      <c r="B37" s="9"/>
      <c r="C37" s="9"/>
      <c r="D37" s="9"/>
      <c r="E37" s="9"/>
      <c r="F37" s="9"/>
      <c r="G37" s="9">
        <v>19</v>
      </c>
      <c r="H37" s="9"/>
      <c r="I37" s="9">
        <v>12</v>
      </c>
      <c r="J37" s="9"/>
      <c r="K37" s="9">
        <v>17</v>
      </c>
    </row>
    <row r="38" spans="1:11" ht="12.75">
      <c r="A38" s="1" t="str">
        <f>INDEX(Production_depts,6)</f>
        <v>D 6</v>
      </c>
      <c r="B38" s="9"/>
      <c r="C38" s="9">
        <v>15</v>
      </c>
      <c r="D38" s="9">
        <v>16</v>
      </c>
      <c r="E38" s="9">
        <v>15</v>
      </c>
      <c r="F38" s="9"/>
      <c r="G38" s="9"/>
      <c r="H38" s="9">
        <v>13</v>
      </c>
      <c r="I38" s="9">
        <v>13</v>
      </c>
      <c r="J38" s="9"/>
      <c r="K38" s="9"/>
    </row>
    <row r="39" spans="1:11" ht="12.75">
      <c r="A39" s="1" t="str">
        <f>INDEX(Production_depts,7)</f>
        <v>D 7</v>
      </c>
      <c r="B39" s="9"/>
      <c r="C39" s="9">
        <v>16</v>
      </c>
      <c r="D39" s="9"/>
      <c r="E39" s="9"/>
      <c r="F39" s="9">
        <v>16</v>
      </c>
      <c r="G39" s="9">
        <v>14</v>
      </c>
      <c r="H39" s="9"/>
      <c r="I39" s="9">
        <v>13</v>
      </c>
      <c r="J39" s="9"/>
      <c r="K39" s="9"/>
    </row>
    <row r="40" spans="1:11" ht="12.75">
      <c r="A40" s="1" t="str">
        <f>INDEX(Production_depts,8)</f>
        <v>D 8</v>
      </c>
      <c r="B40" s="9"/>
      <c r="C40" s="9"/>
      <c r="D40" s="9">
        <v>16</v>
      </c>
      <c r="E40" s="9"/>
      <c r="F40" s="9"/>
      <c r="G40" s="9">
        <v>12</v>
      </c>
      <c r="H40" s="9"/>
      <c r="I40" s="9"/>
      <c r="J40" s="9"/>
      <c r="K40" s="9">
        <v>17</v>
      </c>
    </row>
    <row r="41" spans="1:11" ht="12.75">
      <c r="A41" s="1" t="str">
        <f>INDEX(Production_depts,9)</f>
        <v>D 9</v>
      </c>
      <c r="B41" s="9"/>
      <c r="C41" s="9">
        <v>13</v>
      </c>
      <c r="D41" s="9">
        <v>13</v>
      </c>
      <c r="E41" s="9"/>
      <c r="F41" s="9">
        <v>19</v>
      </c>
      <c r="G41" s="9">
        <v>12</v>
      </c>
      <c r="H41" s="9"/>
      <c r="I41" s="9"/>
      <c r="J41" s="9"/>
      <c r="K41" s="9">
        <v>13</v>
      </c>
    </row>
    <row r="42" spans="1:11" ht="12.75">
      <c r="A42" s="1" t="str">
        <f>INDEX(Production_depts,10)</f>
        <v>D 10</v>
      </c>
      <c r="B42" s="9">
        <v>13</v>
      </c>
      <c r="C42" s="9">
        <v>17</v>
      </c>
      <c r="D42" s="9"/>
      <c r="E42" s="9"/>
      <c r="F42" s="9"/>
      <c r="G42" s="9">
        <v>13</v>
      </c>
      <c r="H42" s="9">
        <v>11</v>
      </c>
      <c r="I42" s="9">
        <v>18</v>
      </c>
      <c r="J42" s="9"/>
      <c r="K42" s="9"/>
    </row>
    <row r="45" ht="19.5">
      <c r="A45" s="5" t="s">
        <v>41</v>
      </c>
    </row>
    <row r="46" ht="12.75">
      <c r="B46" s="12" t="s">
        <v>40</v>
      </c>
    </row>
    <row r="47" spans="1:11" ht="12.75">
      <c r="A47" s="13" t="s">
        <v>39</v>
      </c>
      <c r="B47" s="2" t="str">
        <f>INDEX(Production_depts,1)</f>
        <v>D 1</v>
      </c>
      <c r="C47" s="2" t="str">
        <f>INDEX(Production_depts,2)</f>
        <v>D 2</v>
      </c>
      <c r="D47" s="2" t="str">
        <f>INDEX(Production_depts,3)</f>
        <v>D 3</v>
      </c>
      <c r="E47" s="2" t="str">
        <f>INDEX(Production_depts,4)</f>
        <v>D 4</v>
      </c>
      <c r="F47" s="2" t="str">
        <f>INDEX(Production_depts,5)</f>
        <v>D 5</v>
      </c>
      <c r="G47" s="2" t="str">
        <f>INDEX(Production_depts,6)</f>
        <v>D 6</v>
      </c>
      <c r="H47" s="2" t="str">
        <f>INDEX(Production_depts,7)</f>
        <v>D 7</v>
      </c>
      <c r="I47" s="2" t="str">
        <f>INDEX(Production_depts,8)</f>
        <v>D 8</v>
      </c>
      <c r="J47" s="2" t="str">
        <f>INDEX(Production_depts,9)</f>
        <v>D 9</v>
      </c>
      <c r="K47" s="2" t="str">
        <f>INDEX(Production_depts,10)</f>
        <v>D 10</v>
      </c>
    </row>
    <row r="48" spans="1:11" ht="12.75">
      <c r="A48" s="1" t="str">
        <f>INDEX(Production_depts,1)</f>
        <v>D 1</v>
      </c>
      <c r="B48" s="9">
        <v>1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</row>
    <row r="49" spans="1:11" ht="12.75">
      <c r="A49" s="1" t="str">
        <f>INDEX(Production_depts,2)</f>
        <v>D 2</v>
      </c>
      <c r="B49" s="9">
        <v>1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</row>
    <row r="50" spans="1:11" ht="12.75">
      <c r="A50" s="1" t="str">
        <f>INDEX(Production_depts,3)</f>
        <v>D 3</v>
      </c>
      <c r="B50" s="9">
        <v>1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</row>
    <row r="51" spans="1:11" ht="12.75">
      <c r="A51" s="1" t="str">
        <f>INDEX(Production_depts,4)</f>
        <v>D 4</v>
      </c>
      <c r="B51" s="9">
        <v>1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</row>
    <row r="52" spans="1:11" ht="12.75">
      <c r="A52" s="1" t="str">
        <f>INDEX(Production_depts,5)</f>
        <v>D 5</v>
      </c>
      <c r="B52" s="9">
        <v>1</v>
      </c>
      <c r="C52" s="9">
        <v>1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</row>
    <row r="53" spans="1:11" ht="12.75">
      <c r="A53" s="1" t="str">
        <f>INDEX(Production_depts,6)</f>
        <v>D 6</v>
      </c>
      <c r="B53" s="9">
        <v>1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</row>
    <row r="54" spans="1:11" ht="12.75">
      <c r="A54" s="1" t="str">
        <f>INDEX(Production_depts,7)</f>
        <v>D 7</v>
      </c>
      <c r="B54" s="9">
        <v>1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</row>
    <row r="55" spans="1:11" ht="12.75">
      <c r="A55" s="1" t="str">
        <f>INDEX(Production_depts,8)</f>
        <v>D 8</v>
      </c>
      <c r="B55" s="9">
        <v>1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</row>
    <row r="56" spans="1:11" ht="12.75">
      <c r="A56" s="1" t="str">
        <f>INDEX(Production_depts,9)</f>
        <v>D 9</v>
      </c>
      <c r="B56" s="9">
        <v>1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</row>
    <row r="57" spans="1:11" ht="12.75">
      <c r="A57" s="1" t="str">
        <f>INDEX(Production_depts,10)</f>
        <v>D 10</v>
      </c>
      <c r="B57" s="9">
        <v>1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75390625" style="0" customWidth="1"/>
    <col min="8" max="9" width="5.75390625" style="0" customWidth="1"/>
    <col min="10" max="24" width="3.75390625" style="0" customWidth="1"/>
    <col min="25" max="31" width="5.75390625" style="0" customWidth="1"/>
    <col min="32" max="32" width="8.125" style="0" bestFit="1" customWidth="1"/>
    <col min="33" max="16384" width="5.75390625" style="0" customWidth="1"/>
  </cols>
  <sheetData>
    <row r="1" ht="19.5">
      <c r="A1" s="5" t="s">
        <v>43</v>
      </c>
    </row>
    <row r="3" spans="1:5" ht="12.75">
      <c r="A3" s="1" t="s">
        <v>1</v>
      </c>
      <c r="B3" s="4" t="str">
        <f>Craft_name</f>
        <v>Craft</v>
      </c>
      <c r="D3" s="1" t="s">
        <v>48</v>
      </c>
      <c r="E3" s="4" t="s">
        <v>89</v>
      </c>
    </row>
    <row r="4" spans="1:5" ht="12.75">
      <c r="A4" s="1" t="s">
        <v>3</v>
      </c>
      <c r="B4" s="4">
        <f>Craft_number</f>
        <v>10</v>
      </c>
      <c r="D4" s="1" t="s">
        <v>49</v>
      </c>
      <c r="E4" s="4" t="s">
        <v>55</v>
      </c>
    </row>
    <row r="5" spans="1:5" ht="12.75">
      <c r="A5" s="1" t="s">
        <v>44</v>
      </c>
      <c r="B5" s="4">
        <f>Craft_length</f>
        <v>11</v>
      </c>
      <c r="D5" s="1" t="s">
        <v>50</v>
      </c>
      <c r="E5" s="4" t="s">
        <v>56</v>
      </c>
    </row>
    <row r="6" spans="1:21" ht="12.75">
      <c r="A6" s="1" t="s">
        <v>45</v>
      </c>
      <c r="B6" s="4">
        <f>Craft_width</f>
        <v>15</v>
      </c>
      <c r="D6" s="1" t="s">
        <v>51</v>
      </c>
      <c r="E6" s="4" t="s">
        <v>57</v>
      </c>
      <c r="K6" s="14" t="s">
        <v>66</v>
      </c>
      <c r="P6" s="14" t="s">
        <v>67</v>
      </c>
      <c r="U6" s="14" t="s">
        <v>68</v>
      </c>
    </row>
    <row r="7" spans="1:5" ht="12.75">
      <c r="A7" s="1" t="s">
        <v>46</v>
      </c>
      <c r="B7" s="4">
        <f>Craft_parea</f>
        <v>165</v>
      </c>
      <c r="D7" s="1" t="s">
        <v>52</v>
      </c>
      <c r="E7" s="4">
        <v>3</v>
      </c>
    </row>
    <row r="8" spans="1:28" ht="12.75">
      <c r="A8" s="1" t="s">
        <v>47</v>
      </c>
      <c r="B8" s="16">
        <v>3532.833251953125</v>
      </c>
      <c r="D8" s="1" t="s">
        <v>53</v>
      </c>
      <c r="E8" s="4">
        <v>5</v>
      </c>
      <c r="K8" s="14" t="s">
        <v>69</v>
      </c>
      <c r="P8" s="14" t="s">
        <v>70</v>
      </c>
      <c r="U8" s="14" t="s">
        <v>71</v>
      </c>
      <c r="AA8" s="1" t="s">
        <v>72</v>
      </c>
      <c r="AB8" s="39">
        <v>4048.833251953125</v>
      </c>
    </row>
    <row r="9" spans="9:31" ht="19.5" customHeight="1">
      <c r="I9">
        <v>3532.833251953125</v>
      </c>
      <c r="J9" t="s">
        <v>94</v>
      </c>
      <c r="AD9" s="1" t="s">
        <v>79</v>
      </c>
      <c r="AE9">
        <v>4</v>
      </c>
    </row>
    <row r="10" spans="1:33" ht="12.75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54</v>
      </c>
      <c r="J10">
        <v>1</v>
      </c>
      <c r="K10">
        <v>2</v>
      </c>
      <c r="L10">
        <v>3</v>
      </c>
      <c r="M10">
        <v>4</v>
      </c>
      <c r="N10">
        <v>5</v>
      </c>
      <c r="O10">
        <v>6</v>
      </c>
      <c r="P10">
        <v>7</v>
      </c>
      <c r="Q10">
        <v>8</v>
      </c>
      <c r="R10">
        <v>9</v>
      </c>
      <c r="S10">
        <v>10</v>
      </c>
      <c r="T10">
        <v>11</v>
      </c>
      <c r="U10">
        <v>12</v>
      </c>
      <c r="V10">
        <v>13</v>
      </c>
      <c r="W10">
        <v>14</v>
      </c>
      <c r="X10">
        <v>15</v>
      </c>
      <c r="AA10" s="38" t="s">
        <v>73</v>
      </c>
      <c r="AB10" s="38" t="s">
        <v>74</v>
      </c>
      <c r="AD10" t="s">
        <v>75</v>
      </c>
      <c r="AE10" t="s">
        <v>76</v>
      </c>
      <c r="AF10" t="s">
        <v>77</v>
      </c>
      <c r="AG10" t="s">
        <v>78</v>
      </c>
    </row>
    <row r="11" spans="1:33" ht="25.5" customHeight="1">
      <c r="A11" s="3" t="str">
        <f>INDEX(Craft_depts,1,1)</f>
        <v>D 1</v>
      </c>
      <c r="B11" s="17">
        <v>1</v>
      </c>
      <c r="C11" s="3">
        <f>INDEX(Craft_darea,1,1)</f>
        <v>5</v>
      </c>
      <c r="D11" s="26">
        <v>5</v>
      </c>
      <c r="E11" s="26">
        <v>2.5</v>
      </c>
      <c r="F11" s="26">
        <v>0.5</v>
      </c>
      <c r="G11" s="26">
        <v>1</v>
      </c>
      <c r="I11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49">
        <v>8</v>
      </c>
      <c r="P11" s="49">
        <v>8</v>
      </c>
      <c r="Q11" s="49">
        <v>8</v>
      </c>
      <c r="R11" s="49">
        <v>8</v>
      </c>
      <c r="S11" s="49">
        <v>8</v>
      </c>
      <c r="T11" s="51">
        <v>10</v>
      </c>
      <c r="U11" s="51">
        <v>10</v>
      </c>
      <c r="V11" s="51">
        <v>10</v>
      </c>
      <c r="W11" s="51">
        <v>10</v>
      </c>
      <c r="X11" s="51">
        <v>10</v>
      </c>
      <c r="AA11" s="2">
        <v>1</v>
      </c>
      <c r="AB11" s="26">
        <v>1</v>
      </c>
      <c r="AD11">
        <v>1</v>
      </c>
      <c r="AE11" s="40" t="s">
        <v>80</v>
      </c>
      <c r="AF11" s="40" t="s">
        <v>90</v>
      </c>
      <c r="AG11" s="40">
        <v>3806.433349609375</v>
      </c>
    </row>
    <row r="12" spans="1:33" ht="25.5" customHeight="1">
      <c r="A12" s="3" t="str">
        <f>INDEX(Craft_depts,2,1)</f>
        <v>D 2</v>
      </c>
      <c r="B12" s="18">
        <v>2</v>
      </c>
      <c r="C12" s="3">
        <f>INDEX(Craft_darea,2,1)</f>
        <v>10</v>
      </c>
      <c r="D12" s="26">
        <v>10</v>
      </c>
      <c r="E12" s="26">
        <v>7.5</v>
      </c>
      <c r="F12" s="26">
        <v>8</v>
      </c>
      <c r="G12" s="26">
        <v>2</v>
      </c>
      <c r="I12">
        <v>2</v>
      </c>
      <c r="J12" s="45">
        <v>3</v>
      </c>
      <c r="K12" s="45">
        <v>3</v>
      </c>
      <c r="L12" s="45">
        <v>3</v>
      </c>
      <c r="M12" s="45">
        <v>3</v>
      </c>
      <c r="N12" s="45">
        <v>3</v>
      </c>
      <c r="O12" s="49">
        <v>8</v>
      </c>
      <c r="P12" s="49">
        <v>8</v>
      </c>
      <c r="Q12" s="49">
        <v>8</v>
      </c>
      <c r="R12" s="49">
        <v>8</v>
      </c>
      <c r="S12" s="49">
        <v>8</v>
      </c>
      <c r="T12" s="51">
        <v>10</v>
      </c>
      <c r="U12" s="51">
        <v>10</v>
      </c>
      <c r="V12" s="51">
        <v>10</v>
      </c>
      <c r="W12" s="51">
        <v>10</v>
      </c>
      <c r="X12" s="51">
        <v>10</v>
      </c>
      <c r="AA12" s="2">
        <v>2</v>
      </c>
      <c r="AB12" s="26">
        <v>2</v>
      </c>
      <c r="AD12">
        <v>2</v>
      </c>
      <c r="AE12" s="40" t="s">
        <v>80</v>
      </c>
      <c r="AF12" s="40" t="s">
        <v>91</v>
      </c>
      <c r="AG12" s="40">
        <v>3621.10009765625</v>
      </c>
    </row>
    <row r="13" spans="1:33" ht="25.5" customHeight="1">
      <c r="A13" s="3" t="str">
        <f>INDEX(Craft_depts,3,1)</f>
        <v>D 3</v>
      </c>
      <c r="B13" s="19">
        <v>3</v>
      </c>
      <c r="C13" s="3">
        <f>INDEX(Craft_darea,3,1)</f>
        <v>20</v>
      </c>
      <c r="D13" s="26">
        <v>20</v>
      </c>
      <c r="E13" s="26">
        <v>2.5</v>
      </c>
      <c r="F13" s="26">
        <v>3</v>
      </c>
      <c r="G13" s="26">
        <v>3</v>
      </c>
      <c r="I13">
        <v>3</v>
      </c>
      <c r="J13" s="45">
        <v>3</v>
      </c>
      <c r="K13" s="45">
        <v>3</v>
      </c>
      <c r="L13" s="45">
        <v>3</v>
      </c>
      <c r="M13" s="45">
        <v>3</v>
      </c>
      <c r="N13" s="45">
        <v>3</v>
      </c>
      <c r="O13" s="48">
        <v>7</v>
      </c>
      <c r="P13" s="48">
        <v>7</v>
      </c>
      <c r="Q13" s="48">
        <v>7</v>
      </c>
      <c r="R13" s="48">
        <v>7</v>
      </c>
      <c r="S13" s="48">
        <v>7</v>
      </c>
      <c r="T13" s="51">
        <v>10</v>
      </c>
      <c r="U13" s="51">
        <v>10</v>
      </c>
      <c r="V13" s="51">
        <v>10</v>
      </c>
      <c r="W13" s="51">
        <v>10</v>
      </c>
      <c r="X13" s="51">
        <v>10</v>
      </c>
      <c r="AA13" s="2">
        <v>3</v>
      </c>
      <c r="AB13" s="26">
        <v>3</v>
      </c>
      <c r="AD13">
        <v>3</v>
      </c>
      <c r="AE13" s="40" t="s">
        <v>80</v>
      </c>
      <c r="AF13" s="40" t="s">
        <v>92</v>
      </c>
      <c r="AG13" s="40">
        <v>3572.5</v>
      </c>
    </row>
    <row r="14" spans="1:33" ht="25.5" customHeight="1">
      <c r="A14" s="3" t="str">
        <f>INDEX(Craft_depts,4,1)</f>
        <v>D 4</v>
      </c>
      <c r="B14" s="3">
        <v>4</v>
      </c>
      <c r="C14" s="3">
        <f>INDEX(Craft_darea,4,1)</f>
        <v>30</v>
      </c>
      <c r="D14" s="26">
        <v>30</v>
      </c>
      <c r="E14" s="26">
        <v>4.166666507720947</v>
      </c>
      <c r="F14" s="26">
        <v>9.333333015441895</v>
      </c>
      <c r="G14" s="26">
        <v>4</v>
      </c>
      <c r="I14">
        <v>4</v>
      </c>
      <c r="J14" s="45">
        <v>3</v>
      </c>
      <c r="K14" s="45">
        <v>3</v>
      </c>
      <c r="L14" s="45">
        <v>3</v>
      </c>
      <c r="M14" s="45">
        <v>3</v>
      </c>
      <c r="N14" s="45">
        <v>3</v>
      </c>
      <c r="O14" s="47">
        <v>6</v>
      </c>
      <c r="P14" s="47">
        <v>6</v>
      </c>
      <c r="Q14" s="47">
        <v>6</v>
      </c>
      <c r="R14" s="47">
        <v>6</v>
      </c>
      <c r="S14" s="47">
        <v>6</v>
      </c>
      <c r="T14" s="51">
        <v>10</v>
      </c>
      <c r="U14" s="51">
        <v>10</v>
      </c>
      <c r="V14" s="51">
        <v>10</v>
      </c>
      <c r="W14" s="51">
        <v>10</v>
      </c>
      <c r="X14" s="51">
        <v>10</v>
      </c>
      <c r="AA14" s="2">
        <v>4</v>
      </c>
      <c r="AB14" s="26">
        <v>4</v>
      </c>
      <c r="AD14">
        <v>4</v>
      </c>
      <c r="AE14" s="40" t="s">
        <v>80</v>
      </c>
      <c r="AF14" s="40" t="s">
        <v>93</v>
      </c>
      <c r="AG14" s="40">
        <v>3756.89990234375</v>
      </c>
    </row>
    <row r="15" spans="1:28" ht="25.5" customHeight="1">
      <c r="A15" s="3" t="str">
        <f>INDEX(Craft_depts,5,1)</f>
        <v>D 5</v>
      </c>
      <c r="B15" s="20">
        <v>5</v>
      </c>
      <c r="C15" s="3">
        <f>INDEX(Craft_darea,5,1)</f>
        <v>20</v>
      </c>
      <c r="D15" s="26">
        <v>20</v>
      </c>
      <c r="E15" s="26">
        <v>5</v>
      </c>
      <c r="F15" s="26">
        <v>6</v>
      </c>
      <c r="G15" s="26">
        <v>5</v>
      </c>
      <c r="I15">
        <v>5</v>
      </c>
      <c r="J15" s="45">
        <v>3</v>
      </c>
      <c r="K15" s="45">
        <v>3</v>
      </c>
      <c r="L15" s="45">
        <v>3</v>
      </c>
      <c r="M15" s="45">
        <v>3</v>
      </c>
      <c r="N15" s="45">
        <v>3</v>
      </c>
      <c r="O15" s="47">
        <v>6</v>
      </c>
      <c r="P15" s="47">
        <v>6</v>
      </c>
      <c r="Q15" s="47">
        <v>6</v>
      </c>
      <c r="R15" s="47">
        <v>6</v>
      </c>
      <c r="S15" s="47">
        <v>6</v>
      </c>
      <c r="T15" s="51">
        <v>10</v>
      </c>
      <c r="U15" s="51">
        <v>10</v>
      </c>
      <c r="V15" s="51">
        <v>10</v>
      </c>
      <c r="W15" s="51">
        <v>10</v>
      </c>
      <c r="X15" s="51">
        <v>10</v>
      </c>
      <c r="AA15" s="2">
        <v>5</v>
      </c>
      <c r="AB15" s="26">
        <v>5</v>
      </c>
    </row>
    <row r="16" spans="1:28" ht="25.5" customHeight="1">
      <c r="A16" s="3" t="str">
        <f>INDEX(Craft_depts,6,1)</f>
        <v>D 6</v>
      </c>
      <c r="B16" s="21">
        <v>6</v>
      </c>
      <c r="C16" s="3">
        <f>INDEX(Craft_darea,6,1)</f>
        <v>10</v>
      </c>
      <c r="D16" s="26">
        <v>10</v>
      </c>
      <c r="E16" s="26">
        <v>7.5</v>
      </c>
      <c r="F16" s="26">
        <v>4</v>
      </c>
      <c r="G16" s="26">
        <v>6</v>
      </c>
      <c r="I16">
        <v>6</v>
      </c>
      <c r="J16" s="46">
        <v>5</v>
      </c>
      <c r="K16" s="46">
        <v>5</v>
      </c>
      <c r="L16" s="46">
        <v>5</v>
      </c>
      <c r="M16" s="46">
        <v>5</v>
      </c>
      <c r="N16" s="46">
        <v>5</v>
      </c>
      <c r="O16" s="46">
        <v>5</v>
      </c>
      <c r="P16" s="46">
        <v>5</v>
      </c>
      <c r="Q16" s="46">
        <v>5</v>
      </c>
      <c r="R16" s="46">
        <v>5</v>
      </c>
      <c r="S16" s="46">
        <v>5</v>
      </c>
      <c r="T16" s="51">
        <v>10</v>
      </c>
      <c r="U16" s="51">
        <v>10</v>
      </c>
      <c r="V16" s="51">
        <v>10</v>
      </c>
      <c r="W16" s="51">
        <v>10</v>
      </c>
      <c r="X16" s="51">
        <v>10</v>
      </c>
      <c r="AA16" s="2">
        <v>6</v>
      </c>
      <c r="AB16" s="26">
        <v>6</v>
      </c>
    </row>
    <row r="17" spans="1:28" ht="25.5" customHeight="1">
      <c r="A17" s="3" t="str">
        <f>INDEX(Craft_depts,7,1)</f>
        <v>D 7</v>
      </c>
      <c r="B17" s="22">
        <v>7</v>
      </c>
      <c r="C17" s="3">
        <f>INDEX(Craft_darea,7,1)</f>
        <v>5</v>
      </c>
      <c r="D17" s="26">
        <v>5</v>
      </c>
      <c r="E17" s="26">
        <v>7.5</v>
      </c>
      <c r="F17" s="26">
        <v>2.5</v>
      </c>
      <c r="G17" s="26">
        <v>7</v>
      </c>
      <c r="I17">
        <v>7</v>
      </c>
      <c r="J17" s="46">
        <v>5</v>
      </c>
      <c r="K17" s="46">
        <v>5</v>
      </c>
      <c r="L17" s="46">
        <v>5</v>
      </c>
      <c r="M17" s="46">
        <v>5</v>
      </c>
      <c r="N17" s="46">
        <v>5</v>
      </c>
      <c r="O17" s="46">
        <v>5</v>
      </c>
      <c r="P17" s="46">
        <v>5</v>
      </c>
      <c r="Q17" s="46">
        <v>5</v>
      </c>
      <c r="R17" s="46">
        <v>5</v>
      </c>
      <c r="S17" s="46">
        <v>5</v>
      </c>
      <c r="T17" s="50">
        <v>9</v>
      </c>
      <c r="U17" s="50">
        <v>9</v>
      </c>
      <c r="V17" s="50">
        <v>9</v>
      </c>
      <c r="W17" s="50">
        <v>9</v>
      </c>
      <c r="X17" s="50">
        <v>9</v>
      </c>
      <c r="AA17" s="2">
        <v>7</v>
      </c>
      <c r="AB17" s="26">
        <v>7</v>
      </c>
    </row>
    <row r="18" spans="1:28" ht="25.5" customHeight="1">
      <c r="A18" s="3" t="str">
        <f>INDEX(Craft_depts,8,1)</f>
        <v>D 8</v>
      </c>
      <c r="B18" s="23">
        <v>8</v>
      </c>
      <c r="C18" s="3">
        <f>INDEX(Craft_darea,8,1)</f>
        <v>10</v>
      </c>
      <c r="D18" s="26">
        <v>10</v>
      </c>
      <c r="E18" s="26">
        <v>7.5</v>
      </c>
      <c r="F18" s="26">
        <v>1</v>
      </c>
      <c r="G18" s="26">
        <v>8</v>
      </c>
      <c r="I18">
        <v>8</v>
      </c>
      <c r="J18" s="11">
        <v>4</v>
      </c>
      <c r="K18" s="11">
        <v>4</v>
      </c>
      <c r="L18" s="11">
        <v>4</v>
      </c>
      <c r="M18" s="11">
        <v>4</v>
      </c>
      <c r="N18" s="11">
        <v>4</v>
      </c>
      <c r="O18" s="44">
        <v>2</v>
      </c>
      <c r="P18" s="44">
        <v>2</v>
      </c>
      <c r="Q18" s="44">
        <v>2</v>
      </c>
      <c r="R18" s="44">
        <v>2</v>
      </c>
      <c r="S18" s="44">
        <v>2</v>
      </c>
      <c r="T18" s="50">
        <v>9</v>
      </c>
      <c r="U18" s="50">
        <v>9</v>
      </c>
      <c r="V18" s="50">
        <v>9</v>
      </c>
      <c r="W18" s="50">
        <v>9</v>
      </c>
      <c r="X18" s="50">
        <v>9</v>
      </c>
      <c r="AA18" s="2">
        <v>8</v>
      </c>
      <c r="AB18" s="26">
        <v>8</v>
      </c>
    </row>
    <row r="19" spans="1:28" ht="25.5" customHeight="1">
      <c r="A19" s="3" t="str">
        <f>INDEX(Craft_depts,9,1)</f>
        <v>D 9</v>
      </c>
      <c r="B19" s="24">
        <v>9</v>
      </c>
      <c r="C19" s="3">
        <f>INDEX(Craft_darea,9,1)</f>
        <v>20</v>
      </c>
      <c r="D19" s="26">
        <v>20</v>
      </c>
      <c r="E19" s="26">
        <v>12.5</v>
      </c>
      <c r="F19" s="26">
        <v>8</v>
      </c>
      <c r="G19" s="26">
        <v>9</v>
      </c>
      <c r="I19">
        <v>9</v>
      </c>
      <c r="J19" s="11">
        <v>4</v>
      </c>
      <c r="K19" s="11">
        <v>4</v>
      </c>
      <c r="L19" s="11">
        <v>4</v>
      </c>
      <c r="M19" s="11">
        <v>4</v>
      </c>
      <c r="N19" s="11">
        <v>4</v>
      </c>
      <c r="O19" s="44">
        <v>2</v>
      </c>
      <c r="P19" s="44">
        <v>2</v>
      </c>
      <c r="Q19" s="44">
        <v>2</v>
      </c>
      <c r="R19" s="44">
        <v>2</v>
      </c>
      <c r="S19" s="44">
        <v>2</v>
      </c>
      <c r="T19" s="50">
        <v>9</v>
      </c>
      <c r="U19" s="50">
        <v>9</v>
      </c>
      <c r="V19" s="50">
        <v>9</v>
      </c>
      <c r="W19" s="50">
        <v>9</v>
      </c>
      <c r="X19" s="50">
        <v>9</v>
      </c>
      <c r="AA19" s="2">
        <v>9</v>
      </c>
      <c r="AB19" s="26">
        <v>9</v>
      </c>
    </row>
    <row r="20" spans="1:28" ht="25.5" customHeight="1">
      <c r="A20" s="3" t="str">
        <f>INDEX(Craft_depts,10,1)</f>
        <v>D 10</v>
      </c>
      <c r="B20" s="25">
        <v>10</v>
      </c>
      <c r="C20" s="3">
        <f>INDEX(Craft_darea,10,1)</f>
        <v>30</v>
      </c>
      <c r="D20" s="26">
        <v>30</v>
      </c>
      <c r="E20" s="26">
        <v>12.5</v>
      </c>
      <c r="F20" s="26">
        <v>3</v>
      </c>
      <c r="G20" s="26">
        <v>10</v>
      </c>
      <c r="I20">
        <v>10</v>
      </c>
      <c r="J20" s="11">
        <v>4</v>
      </c>
      <c r="K20" s="11">
        <v>4</v>
      </c>
      <c r="L20" s="11">
        <v>4</v>
      </c>
      <c r="M20" s="11">
        <v>4</v>
      </c>
      <c r="N20" s="11">
        <v>4</v>
      </c>
      <c r="O20" s="11">
        <v>4</v>
      </c>
      <c r="P20" s="11">
        <v>4</v>
      </c>
      <c r="Q20" s="11">
        <v>4</v>
      </c>
      <c r="R20" s="11">
        <v>4</v>
      </c>
      <c r="S20" s="11">
        <v>4</v>
      </c>
      <c r="T20" s="50">
        <v>9</v>
      </c>
      <c r="U20" s="50">
        <v>9</v>
      </c>
      <c r="V20" s="50">
        <v>9</v>
      </c>
      <c r="W20" s="50">
        <v>9</v>
      </c>
      <c r="X20" s="50">
        <v>9</v>
      </c>
      <c r="AA20" s="2">
        <v>10</v>
      </c>
      <c r="AB20" s="26">
        <v>10</v>
      </c>
    </row>
    <row r="21" spans="9:24" ht="25.5" customHeight="1">
      <c r="I21">
        <v>11</v>
      </c>
      <c r="J21" s="11">
        <v>4</v>
      </c>
      <c r="K21" s="11">
        <v>4</v>
      </c>
      <c r="L21" s="11">
        <v>4</v>
      </c>
      <c r="M21" s="11">
        <v>4</v>
      </c>
      <c r="N21" s="11">
        <v>4</v>
      </c>
      <c r="O21" s="11">
        <v>4</v>
      </c>
      <c r="P21" s="11">
        <v>4</v>
      </c>
      <c r="Q21" s="11">
        <v>4</v>
      </c>
      <c r="R21" s="11">
        <v>4</v>
      </c>
      <c r="S21" s="11">
        <v>4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75390625" style="0" customWidth="1"/>
    <col min="8" max="9" width="5.75390625" style="0" customWidth="1"/>
    <col min="10" max="29" width="3.75390625" style="0" customWidth="1"/>
    <col min="30" max="36" width="5.75390625" style="0" customWidth="1"/>
    <col min="37" max="37" width="7.125" style="0" bestFit="1" customWidth="1"/>
    <col min="38" max="16384" width="5.75390625" style="0" customWidth="1"/>
  </cols>
  <sheetData>
    <row r="1" ht="19.5">
      <c r="A1" s="5" t="s">
        <v>43</v>
      </c>
    </row>
    <row r="3" spans="1:5" ht="12.75">
      <c r="A3" s="1" t="s">
        <v>1</v>
      </c>
      <c r="B3" s="4" t="str">
        <f>Craft2_name</f>
        <v>Craft2</v>
      </c>
      <c r="D3" s="1" t="s">
        <v>48</v>
      </c>
      <c r="E3" s="4" t="s">
        <v>89</v>
      </c>
    </row>
    <row r="4" spans="1:5" ht="12.75">
      <c r="A4" s="1" t="s">
        <v>3</v>
      </c>
      <c r="B4" s="4">
        <f>Craft2_number</f>
        <v>10</v>
      </c>
      <c r="D4" s="1" t="s">
        <v>49</v>
      </c>
      <c r="E4" s="4" t="s">
        <v>96</v>
      </c>
    </row>
    <row r="5" spans="1:5" ht="12.75">
      <c r="A5" s="1" t="s">
        <v>44</v>
      </c>
      <c r="B5" s="4">
        <f>Craft2_length</f>
        <v>10</v>
      </c>
      <c r="D5" s="1" t="s">
        <v>50</v>
      </c>
      <c r="E5" s="4" t="s">
        <v>56</v>
      </c>
    </row>
    <row r="6" spans="1:21" ht="12.75">
      <c r="A6" s="1" t="s">
        <v>45</v>
      </c>
      <c r="B6" s="4">
        <f>Craft2_width</f>
        <v>20</v>
      </c>
      <c r="D6" s="1" t="s">
        <v>51</v>
      </c>
      <c r="E6" s="4" t="s">
        <v>57</v>
      </c>
      <c r="K6" s="14" t="s">
        <v>66</v>
      </c>
      <c r="P6" s="14" t="s">
        <v>67</v>
      </c>
      <c r="U6" s="14" t="s">
        <v>68</v>
      </c>
    </row>
    <row r="7" spans="1:5" ht="12.75">
      <c r="A7" s="1" t="s">
        <v>46</v>
      </c>
      <c r="B7" s="4">
        <f>Craft2_parea</f>
        <v>200</v>
      </c>
      <c r="D7" s="1" t="s">
        <v>52</v>
      </c>
      <c r="E7" s="4">
        <v>4</v>
      </c>
    </row>
    <row r="8" spans="1:33" ht="12.75">
      <c r="A8" s="1" t="s">
        <v>47</v>
      </c>
      <c r="B8" s="16">
        <v>4225.94970703125</v>
      </c>
      <c r="D8" s="1" t="s">
        <v>53</v>
      </c>
      <c r="E8" s="4">
        <v>5</v>
      </c>
      <c r="K8" s="14" t="s">
        <v>69</v>
      </c>
      <c r="P8" s="14" t="s">
        <v>70</v>
      </c>
      <c r="U8" s="14" t="s">
        <v>71</v>
      </c>
      <c r="AF8" s="1" t="s">
        <v>72</v>
      </c>
      <c r="AG8" s="39">
        <v>5167.5</v>
      </c>
    </row>
    <row r="9" spans="9:36" ht="24.75" customHeight="1">
      <c r="I9">
        <v>4225.94970703125</v>
      </c>
      <c r="J9" t="s">
        <v>94</v>
      </c>
      <c r="AI9" s="1" t="s">
        <v>79</v>
      </c>
      <c r="AJ9">
        <v>5</v>
      </c>
    </row>
    <row r="10" spans="1:38" ht="18.75" customHeight="1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54</v>
      </c>
      <c r="J10">
        <v>1</v>
      </c>
      <c r="K10">
        <v>2</v>
      </c>
      <c r="L10">
        <v>3</v>
      </c>
      <c r="M10">
        <v>4</v>
      </c>
      <c r="N10">
        <v>5</v>
      </c>
      <c r="O10">
        <v>6</v>
      </c>
      <c r="P10">
        <v>7</v>
      </c>
      <c r="Q10">
        <v>8</v>
      </c>
      <c r="R10">
        <v>9</v>
      </c>
      <c r="S10">
        <v>10</v>
      </c>
      <c r="T10">
        <v>11</v>
      </c>
      <c r="U10">
        <v>12</v>
      </c>
      <c r="V10">
        <v>13</v>
      </c>
      <c r="W10">
        <v>14</v>
      </c>
      <c r="X10">
        <v>15</v>
      </c>
      <c r="Y10">
        <v>16</v>
      </c>
      <c r="Z10">
        <v>17</v>
      </c>
      <c r="AA10">
        <v>18</v>
      </c>
      <c r="AB10">
        <v>19</v>
      </c>
      <c r="AC10">
        <v>20</v>
      </c>
      <c r="AF10" s="38" t="s">
        <v>73</v>
      </c>
      <c r="AG10" s="38" t="s">
        <v>74</v>
      </c>
      <c r="AI10" t="s">
        <v>75</v>
      </c>
      <c r="AJ10" t="s">
        <v>76</v>
      </c>
      <c r="AK10" t="s">
        <v>77</v>
      </c>
      <c r="AL10" t="s">
        <v>78</v>
      </c>
    </row>
    <row r="11" spans="1:38" ht="25.5" customHeight="1">
      <c r="A11" s="3" t="str">
        <f>INDEX(Craft2_depts,1,1)</f>
        <v>D 1</v>
      </c>
      <c r="B11" s="17">
        <v>1</v>
      </c>
      <c r="C11" s="3">
        <f>INDEX(Craft2_darea,1,1)</f>
        <v>5</v>
      </c>
      <c r="D11" s="26">
        <v>5</v>
      </c>
      <c r="E11" s="26">
        <v>0.5</v>
      </c>
      <c r="F11" s="26">
        <v>4.5</v>
      </c>
      <c r="G11" s="26">
        <v>1</v>
      </c>
      <c r="I11">
        <v>1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6">
        <v>5</v>
      </c>
      <c r="V11" s="46">
        <v>5</v>
      </c>
      <c r="W11" s="46">
        <v>5</v>
      </c>
      <c r="X11" s="46">
        <v>5</v>
      </c>
      <c r="Y11" s="46">
        <v>5</v>
      </c>
      <c r="Z11" s="49">
        <v>8</v>
      </c>
      <c r="AA11" s="51">
        <v>10</v>
      </c>
      <c r="AB11" s="51">
        <v>10</v>
      </c>
      <c r="AC11" s="51">
        <v>10</v>
      </c>
      <c r="AF11" s="2">
        <v>1</v>
      </c>
      <c r="AG11" s="26">
        <v>1</v>
      </c>
      <c r="AI11">
        <v>1</v>
      </c>
      <c r="AJ11" s="40" t="s">
        <v>80</v>
      </c>
      <c r="AK11" s="40" t="s">
        <v>97</v>
      </c>
      <c r="AL11" s="40">
        <v>4604.69970703125</v>
      </c>
    </row>
    <row r="12" spans="1:38" ht="25.5" customHeight="1">
      <c r="A12" s="3" t="str">
        <f>INDEX(Craft2_depts,2,1)</f>
        <v>D 2</v>
      </c>
      <c r="B12" s="18">
        <v>2</v>
      </c>
      <c r="C12" s="3">
        <f>INDEX(Craft2_darea,2,1)</f>
        <v>10</v>
      </c>
      <c r="D12" s="26">
        <v>10</v>
      </c>
      <c r="E12" s="26">
        <v>3.5</v>
      </c>
      <c r="F12" s="26">
        <v>8</v>
      </c>
      <c r="G12" s="26">
        <v>2</v>
      </c>
      <c r="I12">
        <v>2</v>
      </c>
      <c r="J12" s="42">
        <v>0</v>
      </c>
      <c r="K12" s="11">
        <v>4</v>
      </c>
      <c r="L12" s="11">
        <v>4</v>
      </c>
      <c r="M12" s="11">
        <v>4</v>
      </c>
      <c r="N12" s="11">
        <v>4</v>
      </c>
      <c r="O12" s="11">
        <v>4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6">
        <v>5</v>
      </c>
      <c r="V12" s="46">
        <v>5</v>
      </c>
      <c r="W12" s="46">
        <v>5</v>
      </c>
      <c r="X12" s="46">
        <v>5</v>
      </c>
      <c r="Y12" s="46">
        <v>5</v>
      </c>
      <c r="Z12" s="49">
        <v>8</v>
      </c>
      <c r="AA12" s="51">
        <v>10</v>
      </c>
      <c r="AB12" s="51">
        <v>10</v>
      </c>
      <c r="AC12" s="51">
        <v>10</v>
      </c>
      <c r="AF12" s="2">
        <v>2</v>
      </c>
      <c r="AG12" s="26">
        <v>2</v>
      </c>
      <c r="AI12">
        <v>2</v>
      </c>
      <c r="AJ12" s="40" t="s">
        <v>80</v>
      </c>
      <c r="AK12" s="40" t="s">
        <v>82</v>
      </c>
      <c r="AL12" s="40">
        <v>4343.5</v>
      </c>
    </row>
    <row r="13" spans="1:38" ht="25.5" customHeight="1">
      <c r="A13" s="3" t="str">
        <f>INDEX(Craft2_depts,3,1)</f>
        <v>D 3</v>
      </c>
      <c r="B13" s="19">
        <v>3</v>
      </c>
      <c r="C13" s="3">
        <f>INDEX(Craft2_darea,3,1)</f>
        <v>20</v>
      </c>
      <c r="D13" s="26">
        <v>20</v>
      </c>
      <c r="E13" s="26">
        <v>11.800000190734863</v>
      </c>
      <c r="F13" s="26">
        <v>7.449999809265137</v>
      </c>
      <c r="G13" s="26">
        <v>3</v>
      </c>
      <c r="I13">
        <v>3</v>
      </c>
      <c r="J13" s="43">
        <v>1</v>
      </c>
      <c r="K13" s="11">
        <v>4</v>
      </c>
      <c r="L13" s="11">
        <v>4</v>
      </c>
      <c r="M13" s="11">
        <v>4</v>
      </c>
      <c r="N13" s="11">
        <v>4</v>
      </c>
      <c r="O13" s="11">
        <v>4</v>
      </c>
      <c r="P13" s="11">
        <v>4</v>
      </c>
      <c r="Q13" s="11">
        <v>4</v>
      </c>
      <c r="R13" s="11">
        <v>4</v>
      </c>
      <c r="S13" s="11">
        <v>4</v>
      </c>
      <c r="T13" s="47">
        <v>6</v>
      </c>
      <c r="U13" s="46">
        <v>5</v>
      </c>
      <c r="V13" s="46">
        <v>5</v>
      </c>
      <c r="W13" s="46">
        <v>5</v>
      </c>
      <c r="X13" s="46">
        <v>5</v>
      </c>
      <c r="Y13" s="46">
        <v>5</v>
      </c>
      <c r="Z13" s="49">
        <v>8</v>
      </c>
      <c r="AA13" s="51">
        <v>10</v>
      </c>
      <c r="AB13" s="51">
        <v>10</v>
      </c>
      <c r="AC13" s="51">
        <v>10</v>
      </c>
      <c r="AF13" s="2">
        <v>3</v>
      </c>
      <c r="AG13" s="26">
        <v>3</v>
      </c>
      <c r="AI13">
        <v>3</v>
      </c>
      <c r="AJ13" s="40" t="s">
        <v>80</v>
      </c>
      <c r="AK13" s="40" t="s">
        <v>98</v>
      </c>
      <c r="AL13" s="40">
        <v>4331.099609375</v>
      </c>
    </row>
    <row r="14" spans="1:38" ht="25.5" customHeight="1">
      <c r="A14" s="3" t="str">
        <f>INDEX(Craft2_depts,4,1)</f>
        <v>D 4</v>
      </c>
      <c r="B14" s="3">
        <v>4</v>
      </c>
      <c r="C14" s="3">
        <f>INDEX(Craft2_darea,4,1)</f>
        <v>30</v>
      </c>
      <c r="D14" s="26">
        <v>30</v>
      </c>
      <c r="E14" s="26">
        <v>6.300000190734863</v>
      </c>
      <c r="F14" s="26">
        <v>3.866666555404663</v>
      </c>
      <c r="G14" s="26">
        <v>4</v>
      </c>
      <c r="I14">
        <v>4</v>
      </c>
      <c r="J14" s="43">
        <v>1</v>
      </c>
      <c r="K14" s="50">
        <v>9</v>
      </c>
      <c r="L14" s="50">
        <v>9</v>
      </c>
      <c r="M14" s="50">
        <v>9</v>
      </c>
      <c r="N14" s="50">
        <v>9</v>
      </c>
      <c r="O14" s="50">
        <v>9</v>
      </c>
      <c r="P14" s="11">
        <v>4</v>
      </c>
      <c r="Q14" s="11">
        <v>4</v>
      </c>
      <c r="R14" s="11">
        <v>4</v>
      </c>
      <c r="S14" s="11">
        <v>4</v>
      </c>
      <c r="T14" s="47">
        <v>6</v>
      </c>
      <c r="U14" s="46">
        <v>5</v>
      </c>
      <c r="V14" s="46">
        <v>5</v>
      </c>
      <c r="W14" s="46">
        <v>5</v>
      </c>
      <c r="X14" s="46">
        <v>5</v>
      </c>
      <c r="Y14" s="46">
        <v>5</v>
      </c>
      <c r="Z14" s="49">
        <v>8</v>
      </c>
      <c r="AA14" s="51">
        <v>10</v>
      </c>
      <c r="AB14" s="51">
        <v>10</v>
      </c>
      <c r="AC14" s="51">
        <v>10</v>
      </c>
      <c r="AF14" s="2">
        <v>4</v>
      </c>
      <c r="AG14" s="26">
        <v>4</v>
      </c>
      <c r="AI14">
        <v>4</v>
      </c>
      <c r="AJ14" s="40" t="s">
        <v>80</v>
      </c>
      <c r="AK14" s="40" t="s">
        <v>84</v>
      </c>
      <c r="AL14" s="40">
        <v>4225.94970703125</v>
      </c>
    </row>
    <row r="15" spans="1:38" ht="25.5" customHeight="1">
      <c r="A15" s="3" t="str">
        <f>INDEX(Craft2_depts,5,1)</f>
        <v>D 5</v>
      </c>
      <c r="B15" s="20">
        <v>5</v>
      </c>
      <c r="C15" s="3">
        <f>INDEX(Craft2_darea,5,1)</f>
        <v>20</v>
      </c>
      <c r="D15" s="26">
        <v>20</v>
      </c>
      <c r="E15" s="26">
        <v>13.5</v>
      </c>
      <c r="F15" s="26">
        <v>2</v>
      </c>
      <c r="G15" s="26">
        <v>5</v>
      </c>
      <c r="I15">
        <v>5</v>
      </c>
      <c r="J15" s="43">
        <v>1</v>
      </c>
      <c r="K15" s="50">
        <v>9</v>
      </c>
      <c r="L15" s="50">
        <v>9</v>
      </c>
      <c r="M15" s="50">
        <v>9</v>
      </c>
      <c r="N15" s="50">
        <v>9</v>
      </c>
      <c r="O15" s="50">
        <v>9</v>
      </c>
      <c r="P15" s="11">
        <v>4</v>
      </c>
      <c r="Q15" s="11">
        <v>4</v>
      </c>
      <c r="R15" s="11">
        <v>4</v>
      </c>
      <c r="S15" s="47">
        <v>6</v>
      </c>
      <c r="T15" s="47">
        <v>6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9">
        <v>8</v>
      </c>
      <c r="AA15" s="51">
        <v>10</v>
      </c>
      <c r="AB15" s="51">
        <v>10</v>
      </c>
      <c r="AC15" s="51">
        <v>10</v>
      </c>
      <c r="AF15" s="2">
        <v>5</v>
      </c>
      <c r="AG15" s="26">
        <v>5</v>
      </c>
      <c r="AI15">
        <v>5</v>
      </c>
      <c r="AJ15" s="40" t="s">
        <v>80</v>
      </c>
      <c r="AK15" s="40" t="s">
        <v>99</v>
      </c>
      <c r="AL15" s="40">
        <v>4308.349609375</v>
      </c>
    </row>
    <row r="16" spans="1:33" ht="25.5" customHeight="1">
      <c r="A16" s="3" t="str">
        <f>INDEX(Craft2_depts,6,1)</f>
        <v>D 6</v>
      </c>
      <c r="B16" s="21">
        <v>6</v>
      </c>
      <c r="C16" s="3">
        <f>INDEX(Craft2_darea,6,1)</f>
        <v>10</v>
      </c>
      <c r="D16" s="26">
        <v>10</v>
      </c>
      <c r="E16" s="26">
        <v>10.100000381469727</v>
      </c>
      <c r="F16" s="26">
        <v>5.400000095367432</v>
      </c>
      <c r="G16" s="26">
        <v>6</v>
      </c>
      <c r="I16">
        <v>6</v>
      </c>
      <c r="J16" s="43">
        <v>1</v>
      </c>
      <c r="K16" s="50">
        <v>9</v>
      </c>
      <c r="L16" s="50">
        <v>9</v>
      </c>
      <c r="M16" s="50">
        <v>9</v>
      </c>
      <c r="N16" s="50">
        <v>9</v>
      </c>
      <c r="O16" s="50">
        <v>9</v>
      </c>
      <c r="P16" s="11">
        <v>4</v>
      </c>
      <c r="Q16" s="11">
        <v>4</v>
      </c>
      <c r="R16" s="11">
        <v>4</v>
      </c>
      <c r="S16" s="47">
        <v>6</v>
      </c>
      <c r="T16" s="47">
        <v>6</v>
      </c>
      <c r="U16" s="45">
        <v>3</v>
      </c>
      <c r="V16" s="45">
        <v>3</v>
      </c>
      <c r="W16" s="45">
        <v>3</v>
      </c>
      <c r="X16" s="48">
        <v>7</v>
      </c>
      <c r="Y16" s="48">
        <v>7</v>
      </c>
      <c r="Z16" s="49">
        <v>8</v>
      </c>
      <c r="AA16" s="51">
        <v>10</v>
      </c>
      <c r="AB16" s="51">
        <v>10</v>
      </c>
      <c r="AC16" s="51">
        <v>10</v>
      </c>
      <c r="AF16" s="2">
        <v>6</v>
      </c>
      <c r="AG16" s="26">
        <v>6</v>
      </c>
    </row>
    <row r="17" spans="1:33" ht="25.5" customHeight="1">
      <c r="A17" s="3" t="str">
        <f>INDEX(Craft2_depts,7,1)</f>
        <v>D 7</v>
      </c>
      <c r="B17" s="22">
        <v>7</v>
      </c>
      <c r="C17" s="3">
        <f>INDEX(Craft2_darea,7,1)</f>
        <v>5</v>
      </c>
      <c r="D17" s="26">
        <v>5</v>
      </c>
      <c r="E17" s="26">
        <v>15.300000190734863</v>
      </c>
      <c r="F17" s="26">
        <v>6.699999809265137</v>
      </c>
      <c r="G17" s="26">
        <v>7</v>
      </c>
      <c r="I17">
        <v>7</v>
      </c>
      <c r="J17" s="43">
        <v>1</v>
      </c>
      <c r="K17" s="50">
        <v>9</v>
      </c>
      <c r="L17" s="50">
        <v>9</v>
      </c>
      <c r="M17" s="50">
        <v>9</v>
      </c>
      <c r="N17" s="50">
        <v>9</v>
      </c>
      <c r="O17" s="50">
        <v>9</v>
      </c>
      <c r="P17" s="11">
        <v>4</v>
      </c>
      <c r="Q17" s="11">
        <v>4</v>
      </c>
      <c r="R17" s="11">
        <v>4</v>
      </c>
      <c r="S17" s="47">
        <v>6</v>
      </c>
      <c r="T17" s="47">
        <v>6</v>
      </c>
      <c r="U17" s="45">
        <v>3</v>
      </c>
      <c r="V17" s="45">
        <v>3</v>
      </c>
      <c r="W17" s="45">
        <v>3</v>
      </c>
      <c r="X17" s="45">
        <v>3</v>
      </c>
      <c r="Y17" s="48">
        <v>7</v>
      </c>
      <c r="Z17" s="49">
        <v>8</v>
      </c>
      <c r="AA17" s="51">
        <v>10</v>
      </c>
      <c r="AB17" s="51">
        <v>10</v>
      </c>
      <c r="AC17" s="51">
        <v>10</v>
      </c>
      <c r="AF17" s="2">
        <v>7</v>
      </c>
      <c r="AG17" s="26">
        <v>7</v>
      </c>
    </row>
    <row r="18" spans="1:33" ht="25.5" customHeight="1">
      <c r="A18" s="3" t="str">
        <f>INDEX(Craft2_depts,8,1)</f>
        <v>D 8</v>
      </c>
      <c r="B18" s="23">
        <v>8</v>
      </c>
      <c r="C18" s="3">
        <f>INDEX(Craft2_darea,8,1)</f>
        <v>10</v>
      </c>
      <c r="D18" s="26">
        <v>10</v>
      </c>
      <c r="E18" s="26">
        <v>16.5</v>
      </c>
      <c r="F18" s="26">
        <v>5</v>
      </c>
      <c r="G18" s="26">
        <v>8</v>
      </c>
      <c r="I18">
        <v>8</v>
      </c>
      <c r="J18" s="42">
        <v>0</v>
      </c>
      <c r="K18" s="44">
        <v>2</v>
      </c>
      <c r="L18" s="44">
        <v>2</v>
      </c>
      <c r="M18" s="44">
        <v>2</v>
      </c>
      <c r="N18" s="44">
        <v>2</v>
      </c>
      <c r="O18" s="44">
        <v>2</v>
      </c>
      <c r="P18" s="11">
        <v>4</v>
      </c>
      <c r="Q18" s="11">
        <v>4</v>
      </c>
      <c r="R18" s="11">
        <v>4</v>
      </c>
      <c r="S18" s="47">
        <v>6</v>
      </c>
      <c r="T18" s="47">
        <v>6</v>
      </c>
      <c r="U18" s="45">
        <v>3</v>
      </c>
      <c r="V18" s="45">
        <v>3</v>
      </c>
      <c r="W18" s="45">
        <v>3</v>
      </c>
      <c r="X18" s="45">
        <v>3</v>
      </c>
      <c r="Y18" s="48">
        <v>7</v>
      </c>
      <c r="Z18" s="49">
        <v>8</v>
      </c>
      <c r="AA18" s="51">
        <v>10</v>
      </c>
      <c r="AB18" s="51">
        <v>10</v>
      </c>
      <c r="AC18" s="51">
        <v>10</v>
      </c>
      <c r="AF18" s="2">
        <v>8</v>
      </c>
      <c r="AG18" s="26">
        <v>8</v>
      </c>
    </row>
    <row r="19" spans="1:33" ht="25.5" customHeight="1">
      <c r="A19" s="3" t="str">
        <f>INDEX(Craft2_depts,9,1)</f>
        <v>D 9</v>
      </c>
      <c r="B19" s="24">
        <v>9</v>
      </c>
      <c r="C19" s="3">
        <f>INDEX(Craft2_darea,9,1)</f>
        <v>20</v>
      </c>
      <c r="D19" s="26">
        <v>20</v>
      </c>
      <c r="E19" s="26">
        <v>3.5</v>
      </c>
      <c r="F19" s="26">
        <v>5</v>
      </c>
      <c r="G19" s="26">
        <v>9</v>
      </c>
      <c r="I19">
        <v>9</v>
      </c>
      <c r="J19" s="42">
        <v>0</v>
      </c>
      <c r="K19" s="44">
        <v>2</v>
      </c>
      <c r="L19" s="44">
        <v>2</v>
      </c>
      <c r="M19" s="44">
        <v>2</v>
      </c>
      <c r="N19" s="44">
        <v>2</v>
      </c>
      <c r="O19" s="44">
        <v>2</v>
      </c>
      <c r="P19" s="45">
        <v>3</v>
      </c>
      <c r="Q19" s="45">
        <v>3</v>
      </c>
      <c r="R19" s="45">
        <v>3</v>
      </c>
      <c r="S19" s="45">
        <v>3</v>
      </c>
      <c r="T19" s="45">
        <v>3</v>
      </c>
      <c r="U19" s="45">
        <v>3</v>
      </c>
      <c r="V19" s="45">
        <v>3</v>
      </c>
      <c r="W19" s="45">
        <v>3</v>
      </c>
      <c r="X19" s="45">
        <v>3</v>
      </c>
      <c r="Y19" s="48">
        <v>7</v>
      </c>
      <c r="Z19" s="49">
        <v>8</v>
      </c>
      <c r="AA19" s="51">
        <v>10</v>
      </c>
      <c r="AB19" s="51">
        <v>10</v>
      </c>
      <c r="AC19" s="51">
        <v>10</v>
      </c>
      <c r="AF19" s="2">
        <v>9</v>
      </c>
      <c r="AG19" s="26">
        <v>9</v>
      </c>
    </row>
    <row r="20" spans="1:33" ht="25.5" customHeight="1">
      <c r="A20" s="3" t="str">
        <f>INDEX(Craft2_depts,10,1)</f>
        <v>D 10</v>
      </c>
      <c r="B20" s="25">
        <v>10</v>
      </c>
      <c r="C20" s="3">
        <f>INDEX(Craft2_darea,10,1)</f>
        <v>30</v>
      </c>
      <c r="D20" s="26">
        <v>30</v>
      </c>
      <c r="E20" s="26">
        <v>18.5</v>
      </c>
      <c r="F20" s="26">
        <v>5</v>
      </c>
      <c r="G20" s="26">
        <v>10</v>
      </c>
      <c r="I20">
        <v>10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9">
        <v>8</v>
      </c>
      <c r="AA20" s="51">
        <v>10</v>
      </c>
      <c r="AB20" s="51">
        <v>10</v>
      </c>
      <c r="AC20" s="51">
        <v>10</v>
      </c>
      <c r="AF20" s="2">
        <v>10</v>
      </c>
      <c r="AG20" s="26">
        <v>10</v>
      </c>
    </row>
    <row r="29" spans="10:29" ht="12.75"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>
        <v>5</v>
      </c>
      <c r="V29" s="46">
        <v>5</v>
      </c>
      <c r="W29" s="46">
        <v>5</v>
      </c>
      <c r="X29" s="46">
        <v>5</v>
      </c>
      <c r="Y29" s="46">
        <v>5</v>
      </c>
      <c r="Z29" s="49">
        <v>8</v>
      </c>
      <c r="AA29" s="51">
        <v>10</v>
      </c>
      <c r="AB29" s="51">
        <v>10</v>
      </c>
      <c r="AC29" s="51">
        <v>10</v>
      </c>
    </row>
    <row r="30" spans="10:29" ht="12.75">
      <c r="J30" s="41"/>
      <c r="K30" s="44">
        <v>2</v>
      </c>
      <c r="L30" s="44">
        <v>2</v>
      </c>
      <c r="M30" s="44">
        <v>2</v>
      </c>
      <c r="N30" s="44">
        <v>2</v>
      </c>
      <c r="O30" s="44">
        <v>2</v>
      </c>
      <c r="P30" s="41"/>
      <c r="Q30" s="41"/>
      <c r="R30" s="41"/>
      <c r="S30" s="41"/>
      <c r="T30" s="41"/>
      <c r="U30" s="46">
        <v>5</v>
      </c>
      <c r="V30" s="46">
        <v>5</v>
      </c>
      <c r="W30" s="46">
        <v>5</v>
      </c>
      <c r="X30" s="46">
        <v>5</v>
      </c>
      <c r="Y30" s="46">
        <v>5</v>
      </c>
      <c r="Z30" s="49">
        <v>8</v>
      </c>
      <c r="AA30" s="51">
        <v>10</v>
      </c>
      <c r="AB30" s="51">
        <v>10</v>
      </c>
      <c r="AC30" s="51">
        <v>10</v>
      </c>
    </row>
    <row r="31" spans="10:29" ht="12.75">
      <c r="J31" s="43">
        <v>1</v>
      </c>
      <c r="K31" s="44">
        <v>2</v>
      </c>
      <c r="L31" s="44">
        <v>2</v>
      </c>
      <c r="M31" s="44">
        <v>2</v>
      </c>
      <c r="N31" s="44">
        <v>2</v>
      </c>
      <c r="O31" s="44">
        <v>2</v>
      </c>
      <c r="P31" s="11">
        <v>4</v>
      </c>
      <c r="Q31" s="11">
        <v>4</v>
      </c>
      <c r="R31" s="11">
        <v>4</v>
      </c>
      <c r="S31" s="11">
        <v>4</v>
      </c>
      <c r="T31" s="11">
        <v>4</v>
      </c>
      <c r="U31" s="46">
        <v>5</v>
      </c>
      <c r="V31" s="46">
        <v>5</v>
      </c>
      <c r="W31" s="46">
        <v>5</v>
      </c>
      <c r="X31" s="46">
        <v>5</v>
      </c>
      <c r="Y31" s="46">
        <v>5</v>
      </c>
      <c r="Z31" s="49">
        <v>8</v>
      </c>
      <c r="AA31" s="51">
        <v>10</v>
      </c>
      <c r="AB31" s="51">
        <v>10</v>
      </c>
      <c r="AC31" s="51">
        <v>10</v>
      </c>
    </row>
    <row r="32" spans="10:29" ht="12.75">
      <c r="J32" s="43">
        <v>1</v>
      </c>
      <c r="K32" s="45">
        <v>3</v>
      </c>
      <c r="L32" s="45">
        <v>3</v>
      </c>
      <c r="M32" s="45">
        <v>3</v>
      </c>
      <c r="N32" s="45">
        <v>3</v>
      </c>
      <c r="O32" s="45">
        <v>3</v>
      </c>
      <c r="P32" s="11">
        <v>4</v>
      </c>
      <c r="Q32" s="11">
        <v>4</v>
      </c>
      <c r="R32" s="11">
        <v>4</v>
      </c>
      <c r="S32" s="11">
        <v>4</v>
      </c>
      <c r="T32" s="11">
        <v>4</v>
      </c>
      <c r="U32" s="46">
        <v>5</v>
      </c>
      <c r="V32" s="46">
        <v>5</v>
      </c>
      <c r="W32" s="46">
        <v>5</v>
      </c>
      <c r="X32" s="46">
        <v>5</v>
      </c>
      <c r="Y32" s="46">
        <v>5</v>
      </c>
      <c r="Z32" s="49">
        <v>8</v>
      </c>
      <c r="AA32" s="51">
        <v>10</v>
      </c>
      <c r="AB32" s="51">
        <v>10</v>
      </c>
      <c r="AC32" s="51">
        <v>10</v>
      </c>
    </row>
    <row r="33" spans="10:29" ht="12.75">
      <c r="J33" s="43">
        <v>1</v>
      </c>
      <c r="K33" s="45">
        <v>3</v>
      </c>
      <c r="L33" s="45">
        <v>3</v>
      </c>
      <c r="M33" s="45">
        <v>3</v>
      </c>
      <c r="N33" s="45">
        <v>3</v>
      </c>
      <c r="O33" s="45">
        <v>3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41"/>
      <c r="V33" s="41"/>
      <c r="W33" s="41"/>
      <c r="X33" s="41"/>
      <c r="Y33" s="41"/>
      <c r="Z33" s="49">
        <v>8</v>
      </c>
      <c r="AA33" s="51">
        <v>10</v>
      </c>
      <c r="AB33" s="51">
        <v>10</v>
      </c>
      <c r="AC33" s="51">
        <v>10</v>
      </c>
    </row>
    <row r="34" spans="10:29" ht="12.75">
      <c r="J34" s="43">
        <v>1</v>
      </c>
      <c r="K34" s="45">
        <v>3</v>
      </c>
      <c r="L34" s="45">
        <v>3</v>
      </c>
      <c r="M34" s="45">
        <v>3</v>
      </c>
      <c r="N34" s="45">
        <v>3</v>
      </c>
      <c r="O34" s="45">
        <v>3</v>
      </c>
      <c r="P34" s="11">
        <v>4</v>
      </c>
      <c r="Q34" s="11">
        <v>4</v>
      </c>
      <c r="R34" s="11">
        <v>4</v>
      </c>
      <c r="S34" s="11">
        <v>4</v>
      </c>
      <c r="T34" s="11">
        <v>4</v>
      </c>
      <c r="U34" s="50">
        <v>9</v>
      </c>
      <c r="V34" s="50">
        <v>9</v>
      </c>
      <c r="W34" s="50">
        <v>9</v>
      </c>
      <c r="X34" s="50">
        <v>9</v>
      </c>
      <c r="Y34" s="50">
        <v>9</v>
      </c>
      <c r="Z34" s="49">
        <v>8</v>
      </c>
      <c r="AA34" s="51">
        <v>10</v>
      </c>
      <c r="AB34" s="51">
        <v>10</v>
      </c>
      <c r="AC34" s="51">
        <v>10</v>
      </c>
    </row>
    <row r="35" spans="10:29" ht="12.75">
      <c r="J35" s="43">
        <v>1</v>
      </c>
      <c r="K35" s="45">
        <v>3</v>
      </c>
      <c r="L35" s="45">
        <v>3</v>
      </c>
      <c r="M35" s="45">
        <v>3</v>
      </c>
      <c r="N35" s="45">
        <v>3</v>
      </c>
      <c r="O35" s="45">
        <v>3</v>
      </c>
      <c r="P35" s="11">
        <v>4</v>
      </c>
      <c r="Q35" s="11">
        <v>4</v>
      </c>
      <c r="R35" s="11">
        <v>4</v>
      </c>
      <c r="S35" s="11">
        <v>4</v>
      </c>
      <c r="T35" s="11">
        <v>4</v>
      </c>
      <c r="U35" s="50">
        <v>9</v>
      </c>
      <c r="V35" s="50">
        <v>9</v>
      </c>
      <c r="W35" s="50">
        <v>9</v>
      </c>
      <c r="X35" s="50">
        <v>9</v>
      </c>
      <c r="Y35" s="50">
        <v>9</v>
      </c>
      <c r="Z35" s="49">
        <v>8</v>
      </c>
      <c r="AA35" s="51">
        <v>10</v>
      </c>
      <c r="AB35" s="51">
        <v>10</v>
      </c>
      <c r="AC35" s="51">
        <v>10</v>
      </c>
    </row>
    <row r="36" spans="10:29" ht="12.75">
      <c r="J36" s="41"/>
      <c r="K36" s="47">
        <v>6</v>
      </c>
      <c r="L36" s="47">
        <v>6</v>
      </c>
      <c r="M36" s="47">
        <v>6</v>
      </c>
      <c r="N36" s="47">
        <v>6</v>
      </c>
      <c r="O36" s="47">
        <v>6</v>
      </c>
      <c r="P36" s="11">
        <v>4</v>
      </c>
      <c r="Q36" s="11">
        <v>4</v>
      </c>
      <c r="R36" s="11">
        <v>4</v>
      </c>
      <c r="S36" s="11">
        <v>4</v>
      </c>
      <c r="T36" s="11">
        <v>4</v>
      </c>
      <c r="U36" s="50">
        <v>9</v>
      </c>
      <c r="V36" s="50">
        <v>9</v>
      </c>
      <c r="W36" s="50">
        <v>9</v>
      </c>
      <c r="X36" s="50">
        <v>9</v>
      </c>
      <c r="Y36" s="50">
        <v>9</v>
      </c>
      <c r="Z36" s="49">
        <v>8</v>
      </c>
      <c r="AA36" s="51">
        <v>10</v>
      </c>
      <c r="AB36" s="51">
        <v>10</v>
      </c>
      <c r="AC36" s="51">
        <v>10</v>
      </c>
    </row>
    <row r="37" spans="10:29" ht="12.75">
      <c r="J37" s="41"/>
      <c r="K37" s="47">
        <v>6</v>
      </c>
      <c r="L37" s="47">
        <v>6</v>
      </c>
      <c r="M37" s="47">
        <v>6</v>
      </c>
      <c r="N37" s="47">
        <v>6</v>
      </c>
      <c r="O37" s="47">
        <v>6</v>
      </c>
      <c r="P37" s="48">
        <v>7</v>
      </c>
      <c r="Q37" s="48">
        <v>7</v>
      </c>
      <c r="R37" s="48">
        <v>7</v>
      </c>
      <c r="S37" s="48">
        <v>7</v>
      </c>
      <c r="T37" s="48">
        <v>7</v>
      </c>
      <c r="U37" s="50">
        <v>9</v>
      </c>
      <c r="V37" s="50">
        <v>9</v>
      </c>
      <c r="W37" s="50">
        <v>9</v>
      </c>
      <c r="X37" s="50">
        <v>9</v>
      </c>
      <c r="Y37" s="50">
        <v>9</v>
      </c>
      <c r="Z37" s="49">
        <v>8</v>
      </c>
      <c r="AA37" s="51">
        <v>10</v>
      </c>
      <c r="AB37" s="51">
        <v>10</v>
      </c>
      <c r="AC37" s="51">
        <v>10</v>
      </c>
    </row>
    <row r="38" spans="10:29" ht="12.75"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9">
        <v>8</v>
      </c>
      <c r="AA38" s="51">
        <v>10</v>
      </c>
      <c r="AB38" s="51">
        <v>10</v>
      </c>
      <c r="AC38" s="51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7.00390625" style="0" bestFit="1" customWidth="1"/>
    <col min="2" max="16384" width="6.75390625" style="0" customWidth="1"/>
  </cols>
  <sheetData>
    <row r="1" ht="22.5">
      <c r="A1" s="15" t="s">
        <v>0</v>
      </c>
    </row>
    <row r="2" spans="1:2" ht="12.75">
      <c r="A2" s="1" t="s">
        <v>1</v>
      </c>
      <c r="B2" s="4" t="s">
        <v>95</v>
      </c>
    </row>
    <row r="3" spans="1:5" ht="12.75">
      <c r="A3" s="1" t="s">
        <v>3</v>
      </c>
      <c r="B3" s="4">
        <v>10</v>
      </c>
      <c r="E3" s="14" t="s">
        <v>42</v>
      </c>
    </row>
    <row r="4" spans="1:2" ht="12.75">
      <c r="A4" s="1" t="s">
        <v>4</v>
      </c>
      <c r="B4" s="4">
        <v>0</v>
      </c>
    </row>
    <row r="5" spans="1:2" ht="12.75">
      <c r="A5" s="1" t="s">
        <v>5</v>
      </c>
      <c r="B5" s="4" t="s">
        <v>6</v>
      </c>
    </row>
    <row r="8" ht="19.5">
      <c r="A8" s="5" t="s">
        <v>7</v>
      </c>
    </row>
    <row r="10" spans="1:3" ht="12.75">
      <c r="A10" s="1" t="s">
        <v>8</v>
      </c>
      <c r="B10" s="6">
        <v>1</v>
      </c>
      <c r="C10" s="7" t="s">
        <v>9</v>
      </c>
    </row>
    <row r="11" spans="1:3" ht="12.75">
      <c r="A11" s="1" t="s">
        <v>10</v>
      </c>
      <c r="B11" s="6">
        <v>10</v>
      </c>
      <c r="C11" s="7">
        <f>ROUNDUP(B11/Craft2_scale,0)</f>
        <v>10</v>
      </c>
    </row>
    <row r="12" spans="1:3" ht="12.75">
      <c r="A12" s="1" t="s">
        <v>11</v>
      </c>
      <c r="B12" s="6">
        <v>20</v>
      </c>
      <c r="C12" s="7">
        <f>ROUNDUP(B12/Craft2_scale,0)</f>
        <v>20</v>
      </c>
    </row>
    <row r="13" spans="1:3" ht="12.75">
      <c r="A13" s="1" t="s">
        <v>12</v>
      </c>
      <c r="B13" s="7">
        <f>B11*B12</f>
        <v>200</v>
      </c>
      <c r="C13" s="7">
        <f>C11*C12</f>
        <v>200</v>
      </c>
    </row>
    <row r="16" ht="19.5">
      <c r="A16" s="5" t="s">
        <v>13</v>
      </c>
    </row>
    <row r="17" spans="2:5" ht="12.75">
      <c r="B17" s="8" t="s">
        <v>14</v>
      </c>
      <c r="C17" s="8" t="s">
        <v>15</v>
      </c>
      <c r="D17" s="8" t="s">
        <v>16</v>
      </c>
      <c r="E17" s="8" t="s">
        <v>9</v>
      </c>
    </row>
    <row r="18" spans="1:5" ht="12.75">
      <c r="A18" s="1" t="s">
        <v>17</v>
      </c>
      <c r="B18" s="9" t="s">
        <v>27</v>
      </c>
      <c r="C18" s="10" t="s">
        <v>37</v>
      </c>
      <c r="D18" s="10">
        <v>5</v>
      </c>
      <c r="E18" s="11">
        <f>ROUNDUP(D18/(Craft2_scale)^2,0)</f>
        <v>5</v>
      </c>
    </row>
    <row r="19" spans="1:5" ht="12.75">
      <c r="A19" s="1" t="s">
        <v>18</v>
      </c>
      <c r="B19" s="9" t="s">
        <v>28</v>
      </c>
      <c r="C19" s="10" t="s">
        <v>37</v>
      </c>
      <c r="D19" s="10">
        <v>10</v>
      </c>
      <c r="E19" s="11">
        <f aca="true" t="shared" si="0" ref="E19:E27">ROUNDUP(D19/(Craft2_scale)^2,0)</f>
        <v>10</v>
      </c>
    </row>
    <row r="20" spans="1:5" ht="12.75">
      <c r="A20" s="1" t="s">
        <v>19</v>
      </c>
      <c r="B20" s="9" t="s">
        <v>29</v>
      </c>
      <c r="C20" s="10" t="s">
        <v>37</v>
      </c>
      <c r="D20" s="10">
        <v>20</v>
      </c>
      <c r="E20" s="11">
        <f t="shared" si="0"/>
        <v>20</v>
      </c>
    </row>
    <row r="21" spans="1:5" ht="12.75">
      <c r="A21" s="1" t="s">
        <v>20</v>
      </c>
      <c r="B21" s="9" t="s">
        <v>30</v>
      </c>
      <c r="C21" s="10" t="s">
        <v>37</v>
      </c>
      <c r="D21" s="10">
        <v>30</v>
      </c>
      <c r="E21" s="11">
        <f t="shared" si="0"/>
        <v>30</v>
      </c>
    </row>
    <row r="22" spans="1:5" ht="12.75">
      <c r="A22" s="1" t="s">
        <v>21</v>
      </c>
      <c r="B22" s="9" t="s">
        <v>31</v>
      </c>
      <c r="C22" s="10" t="s">
        <v>37</v>
      </c>
      <c r="D22" s="10">
        <v>20</v>
      </c>
      <c r="E22" s="11">
        <f t="shared" si="0"/>
        <v>20</v>
      </c>
    </row>
    <row r="23" spans="1:5" ht="12.75">
      <c r="A23" s="1" t="s">
        <v>22</v>
      </c>
      <c r="B23" s="9" t="s">
        <v>32</v>
      </c>
      <c r="C23" s="10" t="s">
        <v>37</v>
      </c>
      <c r="D23" s="10">
        <v>10</v>
      </c>
      <c r="E23" s="11">
        <f t="shared" si="0"/>
        <v>10</v>
      </c>
    </row>
    <row r="24" spans="1:5" ht="12.75">
      <c r="A24" s="1" t="s">
        <v>23</v>
      </c>
      <c r="B24" s="9" t="s">
        <v>33</v>
      </c>
      <c r="C24" s="10" t="s">
        <v>37</v>
      </c>
      <c r="D24" s="10">
        <v>5</v>
      </c>
      <c r="E24" s="11">
        <f t="shared" si="0"/>
        <v>5</v>
      </c>
    </row>
    <row r="25" spans="1:5" ht="12.75">
      <c r="A25" s="1" t="s">
        <v>24</v>
      </c>
      <c r="B25" s="9" t="s">
        <v>34</v>
      </c>
      <c r="C25" s="10" t="s">
        <v>37</v>
      </c>
      <c r="D25" s="10">
        <v>10</v>
      </c>
      <c r="E25" s="11">
        <f t="shared" si="0"/>
        <v>10</v>
      </c>
    </row>
    <row r="26" spans="1:5" ht="12.75">
      <c r="A26" s="1" t="s">
        <v>25</v>
      </c>
      <c r="B26" s="9" t="s">
        <v>35</v>
      </c>
      <c r="C26" s="10" t="s">
        <v>37</v>
      </c>
      <c r="D26" s="10">
        <v>20</v>
      </c>
      <c r="E26" s="11">
        <f t="shared" si="0"/>
        <v>20</v>
      </c>
    </row>
    <row r="27" spans="1:5" ht="12.75">
      <c r="A27" s="1" t="s">
        <v>26</v>
      </c>
      <c r="B27" s="9" t="s">
        <v>36</v>
      </c>
      <c r="C27" s="10" t="s">
        <v>37</v>
      </c>
      <c r="D27" s="10">
        <v>30</v>
      </c>
      <c r="E27" s="11">
        <f t="shared" si="0"/>
        <v>30</v>
      </c>
    </row>
    <row r="30" ht="19.5">
      <c r="A30" s="5" t="s">
        <v>38</v>
      </c>
    </row>
    <row r="31" ht="12.75">
      <c r="B31" s="12" t="s">
        <v>40</v>
      </c>
    </row>
    <row r="32" spans="1:11" ht="12.75">
      <c r="A32" s="13" t="s">
        <v>39</v>
      </c>
      <c r="B32" s="2" t="str">
        <f>INDEX(Craft2_depts,1)</f>
        <v>D 1</v>
      </c>
      <c r="C32" s="2" t="str">
        <f>INDEX(Craft2_depts,2)</f>
        <v>D 2</v>
      </c>
      <c r="D32" s="2" t="str">
        <f>INDEX(Craft2_depts,3)</f>
        <v>D 3</v>
      </c>
      <c r="E32" s="2" t="str">
        <f>INDEX(Craft2_depts,4)</f>
        <v>D 4</v>
      </c>
      <c r="F32" s="2" t="str">
        <f>INDEX(Craft2_depts,5)</f>
        <v>D 5</v>
      </c>
      <c r="G32" s="2" t="str">
        <f>INDEX(Craft2_depts,6)</f>
        <v>D 6</v>
      </c>
      <c r="H32" s="2" t="str">
        <f>INDEX(Craft2_depts,7)</f>
        <v>D 7</v>
      </c>
      <c r="I32" s="2" t="str">
        <f>INDEX(Craft2_depts,8)</f>
        <v>D 8</v>
      </c>
      <c r="J32" s="2" t="str">
        <f>INDEX(Craft2_depts,9)</f>
        <v>D 9</v>
      </c>
      <c r="K32" s="2" t="str">
        <f>INDEX(Craft2_depts,10)</f>
        <v>D 10</v>
      </c>
    </row>
    <row r="33" spans="1:11" ht="12.75">
      <c r="A33" s="1" t="str">
        <f>INDEX(Craft2_depts,1)</f>
        <v>D 1</v>
      </c>
      <c r="B33" s="9"/>
      <c r="C33" s="9"/>
      <c r="D33" s="9"/>
      <c r="E33" s="9">
        <v>16</v>
      </c>
      <c r="F33" s="9"/>
      <c r="G33" s="9"/>
      <c r="H33" s="9"/>
      <c r="I33" s="9"/>
      <c r="J33" s="9"/>
      <c r="K33" s="9"/>
    </row>
    <row r="34" spans="1:11" ht="12.75">
      <c r="A34" s="1" t="str">
        <f>INDEX(Craft2_depts,2)</f>
        <v>D 2</v>
      </c>
      <c r="B34" s="9"/>
      <c r="C34" s="9"/>
      <c r="D34" s="9"/>
      <c r="E34" s="9"/>
      <c r="F34" s="9"/>
      <c r="G34" s="9"/>
      <c r="H34" s="9">
        <v>11</v>
      </c>
      <c r="I34" s="9"/>
      <c r="J34" s="9">
        <v>16</v>
      </c>
      <c r="K34" s="9"/>
    </row>
    <row r="35" spans="1:11" ht="12.75">
      <c r="A35" s="1" t="str">
        <f>INDEX(Craft2_depts,3)</f>
        <v>D 3</v>
      </c>
      <c r="B35" s="9">
        <v>15</v>
      </c>
      <c r="C35" s="9">
        <v>16</v>
      </c>
      <c r="D35" s="9"/>
      <c r="E35" s="9">
        <v>14</v>
      </c>
      <c r="F35" s="9">
        <v>12</v>
      </c>
      <c r="G35" s="9"/>
      <c r="H35" s="9">
        <v>13</v>
      </c>
      <c r="I35" s="9">
        <v>12</v>
      </c>
      <c r="J35" s="9"/>
      <c r="K35" s="9"/>
    </row>
    <row r="36" spans="1:11" ht="12.75">
      <c r="A36" s="1" t="str">
        <f>INDEX(Craft2_depts,4)</f>
        <v>D 4</v>
      </c>
      <c r="B36" s="9"/>
      <c r="C36" s="9">
        <v>18</v>
      </c>
      <c r="D36" s="9"/>
      <c r="E36" s="9"/>
      <c r="F36" s="9">
        <v>13</v>
      </c>
      <c r="G36" s="9"/>
      <c r="H36" s="9"/>
      <c r="I36" s="9"/>
      <c r="J36" s="9">
        <v>16</v>
      </c>
      <c r="K36" s="9"/>
    </row>
    <row r="37" spans="1:11" ht="12.75">
      <c r="A37" s="1" t="str">
        <f>INDEX(Craft2_depts,5)</f>
        <v>D 5</v>
      </c>
      <c r="B37" s="9"/>
      <c r="C37" s="9"/>
      <c r="D37" s="9"/>
      <c r="E37" s="9"/>
      <c r="F37" s="9"/>
      <c r="G37" s="9">
        <v>19</v>
      </c>
      <c r="H37" s="9"/>
      <c r="I37" s="9">
        <v>12</v>
      </c>
      <c r="J37" s="9"/>
      <c r="K37" s="9">
        <v>17</v>
      </c>
    </row>
    <row r="38" spans="1:11" ht="12.75">
      <c r="A38" s="1" t="str">
        <f>INDEX(Craft2_depts,6)</f>
        <v>D 6</v>
      </c>
      <c r="B38" s="9"/>
      <c r="C38" s="9">
        <v>15</v>
      </c>
      <c r="D38" s="9">
        <v>16</v>
      </c>
      <c r="E38" s="9">
        <v>15</v>
      </c>
      <c r="F38" s="9"/>
      <c r="G38" s="9"/>
      <c r="H38" s="9">
        <v>13</v>
      </c>
      <c r="I38" s="9">
        <v>13</v>
      </c>
      <c r="J38" s="9"/>
      <c r="K38" s="9"/>
    </row>
    <row r="39" spans="1:11" ht="12.75">
      <c r="A39" s="1" t="str">
        <f>INDEX(Craft2_depts,7)</f>
        <v>D 7</v>
      </c>
      <c r="B39" s="9"/>
      <c r="C39" s="9">
        <v>16</v>
      </c>
      <c r="D39" s="9"/>
      <c r="E39" s="9"/>
      <c r="F39" s="9">
        <v>16</v>
      </c>
      <c r="G39" s="9">
        <v>14</v>
      </c>
      <c r="H39" s="9"/>
      <c r="I39" s="9">
        <v>13</v>
      </c>
      <c r="J39" s="9"/>
      <c r="K39" s="9"/>
    </row>
    <row r="40" spans="1:11" ht="12.75">
      <c r="A40" s="1" t="str">
        <f>INDEX(Craft2_depts,8)</f>
        <v>D 8</v>
      </c>
      <c r="B40" s="9"/>
      <c r="C40" s="9"/>
      <c r="D40" s="9">
        <v>16</v>
      </c>
      <c r="E40" s="9"/>
      <c r="F40" s="9"/>
      <c r="G40" s="9">
        <v>12</v>
      </c>
      <c r="H40" s="9"/>
      <c r="I40" s="9"/>
      <c r="J40" s="9"/>
      <c r="K40" s="9">
        <v>17</v>
      </c>
    </row>
    <row r="41" spans="1:11" ht="12.75">
      <c r="A41" s="1" t="str">
        <f>INDEX(Craft2_depts,9)</f>
        <v>D 9</v>
      </c>
      <c r="B41" s="9"/>
      <c r="C41" s="9">
        <v>13</v>
      </c>
      <c r="D41" s="9">
        <v>13</v>
      </c>
      <c r="E41" s="9"/>
      <c r="F41" s="9">
        <v>19</v>
      </c>
      <c r="G41" s="9">
        <v>12</v>
      </c>
      <c r="H41" s="9"/>
      <c r="I41" s="9"/>
      <c r="J41" s="9"/>
      <c r="K41" s="9">
        <v>13</v>
      </c>
    </row>
    <row r="42" spans="1:11" ht="12.75">
      <c r="A42" s="1" t="str">
        <f>INDEX(Craft2_depts,10)</f>
        <v>D 10</v>
      </c>
      <c r="B42" s="9">
        <v>13</v>
      </c>
      <c r="C42" s="9">
        <v>17</v>
      </c>
      <c r="D42" s="9"/>
      <c r="E42" s="9"/>
      <c r="F42" s="9"/>
      <c r="G42" s="9">
        <v>13</v>
      </c>
      <c r="H42" s="9">
        <v>11</v>
      </c>
      <c r="I42" s="9">
        <v>18</v>
      </c>
      <c r="J42" s="9"/>
      <c r="K42" s="9"/>
    </row>
    <row r="45" ht="19.5">
      <c r="A45" s="5" t="s">
        <v>41</v>
      </c>
    </row>
    <row r="46" ht="12.75">
      <c r="B46" s="12" t="s">
        <v>40</v>
      </c>
    </row>
    <row r="47" spans="1:11" ht="12.75">
      <c r="A47" s="13" t="s">
        <v>39</v>
      </c>
      <c r="B47" s="2" t="str">
        <f>INDEX(Craft2_depts,1)</f>
        <v>D 1</v>
      </c>
      <c r="C47" s="2" t="str">
        <f>INDEX(Craft2_depts,2)</f>
        <v>D 2</v>
      </c>
      <c r="D47" s="2" t="str">
        <f>INDEX(Craft2_depts,3)</f>
        <v>D 3</v>
      </c>
      <c r="E47" s="2" t="str">
        <f>INDEX(Craft2_depts,4)</f>
        <v>D 4</v>
      </c>
      <c r="F47" s="2" t="str">
        <f>INDEX(Craft2_depts,5)</f>
        <v>D 5</v>
      </c>
      <c r="G47" s="2" t="str">
        <f>INDEX(Craft2_depts,6)</f>
        <v>D 6</v>
      </c>
      <c r="H47" s="2" t="str">
        <f>INDEX(Craft2_depts,7)</f>
        <v>D 7</v>
      </c>
      <c r="I47" s="2" t="str">
        <f>INDEX(Craft2_depts,8)</f>
        <v>D 8</v>
      </c>
      <c r="J47" s="2" t="str">
        <f>INDEX(Craft2_depts,9)</f>
        <v>D 9</v>
      </c>
      <c r="K47" s="2" t="str">
        <f>INDEX(Craft2_depts,10)</f>
        <v>D 10</v>
      </c>
    </row>
    <row r="48" spans="1:11" ht="12.75">
      <c r="A48" s="1" t="str">
        <f>INDEX(Craft2_depts,1)</f>
        <v>D 1</v>
      </c>
      <c r="B48" s="9">
        <v>1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</row>
    <row r="49" spans="1:11" ht="12.75">
      <c r="A49" s="1" t="str">
        <f>INDEX(Craft2_depts,2)</f>
        <v>D 2</v>
      </c>
      <c r="B49" s="9">
        <v>1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</row>
    <row r="50" spans="1:11" ht="12.75">
      <c r="A50" s="1" t="str">
        <f>INDEX(Craft2_depts,3)</f>
        <v>D 3</v>
      </c>
      <c r="B50" s="9">
        <v>1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</row>
    <row r="51" spans="1:11" ht="12.75">
      <c r="A51" s="1" t="str">
        <f>INDEX(Craft2_depts,4)</f>
        <v>D 4</v>
      </c>
      <c r="B51" s="9">
        <v>1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</row>
    <row r="52" spans="1:11" ht="12.75">
      <c r="A52" s="1" t="str">
        <f>INDEX(Craft2_depts,5)</f>
        <v>D 5</v>
      </c>
      <c r="B52" s="9">
        <v>1</v>
      </c>
      <c r="C52" s="9">
        <v>1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</row>
    <row r="53" spans="1:11" ht="12.75">
      <c r="A53" s="1" t="str">
        <f>INDEX(Craft2_depts,6)</f>
        <v>D 6</v>
      </c>
      <c r="B53" s="9">
        <v>1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</row>
    <row r="54" spans="1:11" ht="12.75">
      <c r="A54" s="1" t="str">
        <f>INDEX(Craft2_depts,7)</f>
        <v>D 7</v>
      </c>
      <c r="B54" s="9">
        <v>1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</row>
    <row r="55" spans="1:11" ht="12.75">
      <c r="A55" s="1" t="str">
        <f>INDEX(Craft2_depts,8)</f>
        <v>D 8</v>
      </c>
      <c r="B55" s="9">
        <v>1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</row>
    <row r="56" spans="1:11" ht="12.75">
      <c r="A56" s="1" t="str">
        <f>INDEX(Craft2_depts,9)</f>
        <v>D 9</v>
      </c>
      <c r="B56" s="9">
        <v>1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</row>
    <row r="57" spans="1:11" ht="12.75">
      <c r="A57" s="1" t="str">
        <f>INDEX(Craft2_depts,10)</f>
        <v>D 10</v>
      </c>
      <c r="B57" s="9">
        <v>1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M30" sqref="M30"/>
    </sheetView>
  </sheetViews>
  <sheetFormatPr defaultColWidth="11.00390625" defaultRowHeight="12.75"/>
  <cols>
    <col min="1" max="1" width="17.00390625" style="0" bestFit="1" customWidth="1"/>
    <col min="2" max="16384" width="6.75390625" style="0" customWidth="1"/>
  </cols>
  <sheetData>
    <row r="1" ht="22.5">
      <c r="A1" s="15" t="s">
        <v>0</v>
      </c>
    </row>
    <row r="2" spans="1:2" ht="12.75">
      <c r="A2" s="1" t="s">
        <v>1</v>
      </c>
      <c r="B2" s="4" t="s">
        <v>88</v>
      </c>
    </row>
    <row r="3" spans="1:5" ht="12.75">
      <c r="A3" s="1" t="s">
        <v>3</v>
      </c>
      <c r="B3" s="4">
        <v>10</v>
      </c>
      <c r="E3" s="14" t="s">
        <v>42</v>
      </c>
    </row>
    <row r="4" spans="1:2" ht="12.75">
      <c r="A4" s="1" t="s">
        <v>4</v>
      </c>
      <c r="B4" s="4">
        <v>0</v>
      </c>
    </row>
    <row r="5" spans="1:2" ht="12.75">
      <c r="A5" s="1" t="s">
        <v>5</v>
      </c>
      <c r="B5" s="4" t="s">
        <v>6</v>
      </c>
    </row>
    <row r="8" ht="19.5">
      <c r="A8" s="5" t="s">
        <v>7</v>
      </c>
    </row>
    <row r="10" spans="1:3" ht="12.75">
      <c r="A10" s="1" t="s">
        <v>8</v>
      </c>
      <c r="B10" s="6">
        <v>1</v>
      </c>
      <c r="C10" s="7" t="s">
        <v>9</v>
      </c>
    </row>
    <row r="11" spans="1:3" ht="12.75">
      <c r="A11" s="1" t="s">
        <v>10</v>
      </c>
      <c r="B11" s="6">
        <v>11</v>
      </c>
      <c r="C11" s="7">
        <f>ROUNDUP(B11/Craft_scale,0)</f>
        <v>11</v>
      </c>
    </row>
    <row r="12" spans="1:3" ht="12.75">
      <c r="A12" s="1" t="s">
        <v>11</v>
      </c>
      <c r="B12" s="6">
        <v>15</v>
      </c>
      <c r="C12" s="7">
        <f>ROUNDUP(B12/Craft_scale,0)</f>
        <v>15</v>
      </c>
    </row>
    <row r="13" spans="1:3" ht="12.75">
      <c r="A13" s="1" t="s">
        <v>12</v>
      </c>
      <c r="B13" s="7">
        <f>B11*B12</f>
        <v>165</v>
      </c>
      <c r="C13" s="7">
        <f>C11*C12</f>
        <v>165</v>
      </c>
    </row>
    <row r="16" ht="19.5">
      <c r="A16" s="5" t="s">
        <v>13</v>
      </c>
    </row>
    <row r="17" spans="2:5" ht="12.75">
      <c r="B17" s="8" t="s">
        <v>14</v>
      </c>
      <c r="C17" s="8" t="s">
        <v>15</v>
      </c>
      <c r="D17" s="8" t="s">
        <v>16</v>
      </c>
      <c r="E17" s="8" t="s">
        <v>9</v>
      </c>
    </row>
    <row r="18" spans="1:5" ht="12.75">
      <c r="A18" s="1" t="s">
        <v>17</v>
      </c>
      <c r="B18" s="9" t="s">
        <v>27</v>
      </c>
      <c r="C18" s="10" t="s">
        <v>37</v>
      </c>
      <c r="D18" s="10">
        <v>5</v>
      </c>
      <c r="E18" s="11">
        <f>ROUNDUP(D18/(Craft_scale)^2,0)</f>
        <v>5</v>
      </c>
    </row>
    <row r="19" spans="1:5" ht="12.75">
      <c r="A19" s="1" t="s">
        <v>18</v>
      </c>
      <c r="B19" s="9" t="s">
        <v>28</v>
      </c>
      <c r="C19" s="10" t="s">
        <v>37</v>
      </c>
      <c r="D19" s="10">
        <v>10</v>
      </c>
      <c r="E19" s="11">
        <f aca="true" t="shared" si="0" ref="E19:E27">ROUNDUP(D19/(Craft_scale)^2,0)</f>
        <v>10</v>
      </c>
    </row>
    <row r="20" spans="1:5" ht="12.75">
      <c r="A20" s="1" t="s">
        <v>19</v>
      </c>
      <c r="B20" s="9" t="s">
        <v>29</v>
      </c>
      <c r="C20" s="10" t="s">
        <v>37</v>
      </c>
      <c r="D20" s="10">
        <v>20</v>
      </c>
      <c r="E20" s="11">
        <f t="shared" si="0"/>
        <v>20</v>
      </c>
    </row>
    <row r="21" spans="1:5" ht="12.75">
      <c r="A21" s="1" t="s">
        <v>20</v>
      </c>
      <c r="B21" s="9" t="s">
        <v>30</v>
      </c>
      <c r="C21" s="10" t="s">
        <v>37</v>
      </c>
      <c r="D21" s="10">
        <v>30</v>
      </c>
      <c r="E21" s="11">
        <f t="shared" si="0"/>
        <v>30</v>
      </c>
    </row>
    <row r="22" spans="1:5" ht="12.75">
      <c r="A22" s="1" t="s">
        <v>21</v>
      </c>
      <c r="B22" s="9" t="s">
        <v>31</v>
      </c>
      <c r="C22" s="10" t="s">
        <v>37</v>
      </c>
      <c r="D22" s="10">
        <v>20</v>
      </c>
      <c r="E22" s="11">
        <f t="shared" si="0"/>
        <v>20</v>
      </c>
    </row>
    <row r="23" spans="1:5" ht="12.75">
      <c r="A23" s="1" t="s">
        <v>22</v>
      </c>
      <c r="B23" s="9" t="s">
        <v>32</v>
      </c>
      <c r="C23" s="10" t="s">
        <v>37</v>
      </c>
      <c r="D23" s="10">
        <v>10</v>
      </c>
      <c r="E23" s="11">
        <f t="shared" si="0"/>
        <v>10</v>
      </c>
    </row>
    <row r="24" spans="1:5" ht="12.75">
      <c r="A24" s="1" t="s">
        <v>23</v>
      </c>
      <c r="B24" s="9" t="s">
        <v>33</v>
      </c>
      <c r="C24" s="10" t="s">
        <v>37</v>
      </c>
      <c r="D24" s="10">
        <v>5</v>
      </c>
      <c r="E24" s="11">
        <f t="shared" si="0"/>
        <v>5</v>
      </c>
    </row>
    <row r="25" spans="1:5" ht="12.75">
      <c r="A25" s="1" t="s">
        <v>24</v>
      </c>
      <c r="B25" s="9" t="s">
        <v>34</v>
      </c>
      <c r="C25" s="10" t="s">
        <v>37</v>
      </c>
      <c r="D25" s="10">
        <v>10</v>
      </c>
      <c r="E25" s="11">
        <f t="shared" si="0"/>
        <v>10</v>
      </c>
    </row>
    <row r="26" spans="1:5" ht="12.75">
      <c r="A26" s="1" t="s">
        <v>25</v>
      </c>
      <c r="B26" s="9" t="s">
        <v>35</v>
      </c>
      <c r="C26" s="10" t="s">
        <v>37</v>
      </c>
      <c r="D26" s="10">
        <v>20</v>
      </c>
      <c r="E26" s="11">
        <f t="shared" si="0"/>
        <v>20</v>
      </c>
    </row>
    <row r="27" spans="1:5" ht="12.75">
      <c r="A27" s="1" t="s">
        <v>26</v>
      </c>
      <c r="B27" s="9" t="s">
        <v>36</v>
      </c>
      <c r="C27" s="10" t="s">
        <v>37</v>
      </c>
      <c r="D27" s="10">
        <v>30</v>
      </c>
      <c r="E27" s="11">
        <f t="shared" si="0"/>
        <v>30</v>
      </c>
    </row>
    <row r="30" ht="19.5">
      <c r="A30" s="5" t="s">
        <v>38</v>
      </c>
    </row>
    <row r="31" ht="12.75">
      <c r="B31" s="12" t="s">
        <v>40</v>
      </c>
    </row>
    <row r="32" spans="1:11" ht="12.75">
      <c r="A32" s="13" t="s">
        <v>39</v>
      </c>
      <c r="B32" s="2" t="str">
        <f>INDEX(Craft_depts,1)</f>
        <v>D 1</v>
      </c>
      <c r="C32" s="2" t="str">
        <f>INDEX(Craft_depts,2)</f>
        <v>D 2</v>
      </c>
      <c r="D32" s="2" t="str">
        <f>INDEX(Craft_depts,3)</f>
        <v>D 3</v>
      </c>
      <c r="E32" s="2" t="str">
        <f>INDEX(Craft_depts,4)</f>
        <v>D 4</v>
      </c>
      <c r="F32" s="2" t="str">
        <f>INDEX(Craft_depts,5)</f>
        <v>D 5</v>
      </c>
      <c r="G32" s="2" t="str">
        <f>INDEX(Craft_depts,6)</f>
        <v>D 6</v>
      </c>
      <c r="H32" s="2" t="str">
        <f>INDEX(Craft_depts,7)</f>
        <v>D 7</v>
      </c>
      <c r="I32" s="2" t="str">
        <f>INDEX(Craft_depts,8)</f>
        <v>D 8</v>
      </c>
      <c r="J32" s="2" t="str">
        <f>INDEX(Craft_depts,9)</f>
        <v>D 9</v>
      </c>
      <c r="K32" s="2" t="str">
        <f>INDEX(Craft_depts,10)</f>
        <v>D 10</v>
      </c>
    </row>
    <row r="33" spans="1:11" ht="12.75">
      <c r="A33" s="1" t="str">
        <f>INDEX(Craft_depts,1)</f>
        <v>D 1</v>
      </c>
      <c r="B33" s="9"/>
      <c r="C33" s="9"/>
      <c r="D33" s="9"/>
      <c r="E33" s="9">
        <v>16</v>
      </c>
      <c r="F33" s="9"/>
      <c r="G33" s="9"/>
      <c r="H33" s="9"/>
      <c r="I33" s="9"/>
      <c r="J33" s="9"/>
      <c r="K33" s="9"/>
    </row>
    <row r="34" spans="1:11" ht="12.75">
      <c r="A34" s="1" t="str">
        <f>INDEX(Craft_depts,2)</f>
        <v>D 2</v>
      </c>
      <c r="B34" s="9"/>
      <c r="C34" s="9"/>
      <c r="D34" s="9"/>
      <c r="E34" s="9"/>
      <c r="F34" s="9"/>
      <c r="G34" s="9"/>
      <c r="H34" s="9">
        <v>11</v>
      </c>
      <c r="I34" s="9"/>
      <c r="J34" s="9">
        <v>16</v>
      </c>
      <c r="K34" s="9"/>
    </row>
    <row r="35" spans="1:11" ht="12.75">
      <c r="A35" s="1" t="str">
        <f>INDEX(Craft_depts,3)</f>
        <v>D 3</v>
      </c>
      <c r="B35" s="9">
        <v>15</v>
      </c>
      <c r="C35" s="9">
        <v>16</v>
      </c>
      <c r="D35" s="9"/>
      <c r="E35" s="9">
        <v>14</v>
      </c>
      <c r="F35" s="9">
        <v>12</v>
      </c>
      <c r="G35" s="9"/>
      <c r="H35" s="9">
        <v>13</v>
      </c>
      <c r="I35" s="9">
        <v>12</v>
      </c>
      <c r="J35" s="9"/>
      <c r="K35" s="9"/>
    </row>
    <row r="36" spans="1:11" ht="12.75">
      <c r="A36" s="1" t="str">
        <f>INDEX(Craft_depts,4)</f>
        <v>D 4</v>
      </c>
      <c r="B36" s="9"/>
      <c r="C36" s="9">
        <v>18</v>
      </c>
      <c r="D36" s="9"/>
      <c r="E36" s="9"/>
      <c r="F36" s="9">
        <v>13</v>
      </c>
      <c r="G36" s="9"/>
      <c r="H36" s="9"/>
      <c r="I36" s="9"/>
      <c r="J36" s="9">
        <v>16</v>
      </c>
      <c r="K36" s="9"/>
    </row>
    <row r="37" spans="1:11" ht="12.75">
      <c r="A37" s="1" t="str">
        <f>INDEX(Craft_depts,5)</f>
        <v>D 5</v>
      </c>
      <c r="B37" s="9"/>
      <c r="C37" s="9"/>
      <c r="D37" s="9"/>
      <c r="E37" s="9"/>
      <c r="F37" s="9"/>
      <c r="G37" s="9">
        <v>19</v>
      </c>
      <c r="H37" s="9"/>
      <c r="I37" s="9">
        <v>12</v>
      </c>
      <c r="J37" s="9"/>
      <c r="K37" s="9">
        <v>17</v>
      </c>
    </row>
    <row r="38" spans="1:11" ht="12.75">
      <c r="A38" s="1" t="str">
        <f>INDEX(Craft_depts,6)</f>
        <v>D 6</v>
      </c>
      <c r="B38" s="9"/>
      <c r="C38" s="9">
        <v>15</v>
      </c>
      <c r="D38" s="9">
        <v>16</v>
      </c>
      <c r="E38" s="9">
        <v>15</v>
      </c>
      <c r="F38" s="9"/>
      <c r="G38" s="9"/>
      <c r="H38" s="9">
        <v>13</v>
      </c>
      <c r="I38" s="9">
        <v>13</v>
      </c>
      <c r="J38" s="9"/>
      <c r="K38" s="9"/>
    </row>
    <row r="39" spans="1:11" ht="12.75">
      <c r="A39" s="1" t="str">
        <f>INDEX(Craft_depts,7)</f>
        <v>D 7</v>
      </c>
      <c r="B39" s="9"/>
      <c r="C39" s="9">
        <v>16</v>
      </c>
      <c r="D39" s="9"/>
      <c r="E39" s="9"/>
      <c r="F39" s="9">
        <v>16</v>
      </c>
      <c r="G39" s="9">
        <v>14</v>
      </c>
      <c r="H39" s="9"/>
      <c r="I39" s="9">
        <v>13</v>
      </c>
      <c r="J39" s="9"/>
      <c r="K39" s="9"/>
    </row>
    <row r="40" spans="1:11" ht="12.75">
      <c r="A40" s="1" t="str">
        <f>INDEX(Craft_depts,8)</f>
        <v>D 8</v>
      </c>
      <c r="B40" s="9"/>
      <c r="C40" s="9"/>
      <c r="D40" s="9">
        <v>16</v>
      </c>
      <c r="E40" s="9"/>
      <c r="F40" s="9"/>
      <c r="G40" s="9">
        <v>12</v>
      </c>
      <c r="H40" s="9"/>
      <c r="I40" s="9"/>
      <c r="J40" s="9"/>
      <c r="K40" s="9">
        <v>17</v>
      </c>
    </row>
    <row r="41" spans="1:11" ht="12.75">
      <c r="A41" s="1" t="str">
        <f>INDEX(Craft_depts,9)</f>
        <v>D 9</v>
      </c>
      <c r="B41" s="9"/>
      <c r="C41" s="9">
        <v>13</v>
      </c>
      <c r="D41" s="9">
        <v>13</v>
      </c>
      <c r="E41" s="9"/>
      <c r="F41" s="9">
        <v>19</v>
      </c>
      <c r="G41" s="9">
        <v>12</v>
      </c>
      <c r="H41" s="9"/>
      <c r="I41" s="9"/>
      <c r="J41" s="9"/>
      <c r="K41" s="9">
        <v>13</v>
      </c>
    </row>
    <row r="42" spans="1:11" ht="12.75">
      <c r="A42" s="1" t="str">
        <f>INDEX(Craft_depts,10)</f>
        <v>D 10</v>
      </c>
      <c r="B42" s="9">
        <v>13</v>
      </c>
      <c r="C42" s="9">
        <v>17</v>
      </c>
      <c r="D42" s="9"/>
      <c r="E42" s="9"/>
      <c r="F42" s="9"/>
      <c r="G42" s="9">
        <v>13</v>
      </c>
      <c r="H42" s="9">
        <v>11</v>
      </c>
      <c r="I42" s="9">
        <v>18</v>
      </c>
      <c r="J42" s="9"/>
      <c r="K42" s="9"/>
    </row>
    <row r="45" ht="19.5">
      <c r="A45" s="5" t="s">
        <v>41</v>
      </c>
    </row>
    <row r="46" ht="12.75">
      <c r="B46" s="12" t="s">
        <v>40</v>
      </c>
    </row>
    <row r="47" spans="1:11" ht="12.75">
      <c r="A47" s="13" t="s">
        <v>39</v>
      </c>
      <c r="B47" s="2" t="str">
        <f>INDEX(Craft_depts,1)</f>
        <v>D 1</v>
      </c>
      <c r="C47" s="2" t="str">
        <f>INDEX(Craft_depts,2)</f>
        <v>D 2</v>
      </c>
      <c r="D47" s="2" t="str">
        <f>INDEX(Craft_depts,3)</f>
        <v>D 3</v>
      </c>
      <c r="E47" s="2" t="str">
        <f>INDEX(Craft_depts,4)</f>
        <v>D 4</v>
      </c>
      <c r="F47" s="2" t="str">
        <f>INDEX(Craft_depts,5)</f>
        <v>D 5</v>
      </c>
      <c r="G47" s="2" t="str">
        <f>INDEX(Craft_depts,6)</f>
        <v>D 6</v>
      </c>
      <c r="H47" s="2" t="str">
        <f>INDEX(Craft_depts,7)</f>
        <v>D 7</v>
      </c>
      <c r="I47" s="2" t="str">
        <f>INDEX(Craft_depts,8)</f>
        <v>D 8</v>
      </c>
      <c r="J47" s="2" t="str">
        <f>INDEX(Craft_depts,9)</f>
        <v>D 9</v>
      </c>
      <c r="K47" s="2" t="str">
        <f>INDEX(Craft_depts,10)</f>
        <v>D 10</v>
      </c>
    </row>
    <row r="48" spans="1:11" ht="12.75">
      <c r="A48" s="1" t="str">
        <f>INDEX(Craft_depts,1)</f>
        <v>D 1</v>
      </c>
      <c r="B48" s="9">
        <v>1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</row>
    <row r="49" spans="1:11" ht="12.75">
      <c r="A49" s="1" t="str">
        <f>INDEX(Craft_depts,2)</f>
        <v>D 2</v>
      </c>
      <c r="B49" s="9">
        <v>1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</row>
    <row r="50" spans="1:11" ht="12.75">
      <c r="A50" s="1" t="str">
        <f>INDEX(Craft_depts,3)</f>
        <v>D 3</v>
      </c>
      <c r="B50" s="9">
        <v>1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</row>
    <row r="51" spans="1:11" ht="12.75">
      <c r="A51" s="1" t="str">
        <f>INDEX(Craft_depts,4)</f>
        <v>D 4</v>
      </c>
      <c r="B51" s="9">
        <v>1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</row>
    <row r="52" spans="1:11" ht="12.75">
      <c r="A52" s="1" t="str">
        <f>INDEX(Craft_depts,5)</f>
        <v>D 5</v>
      </c>
      <c r="B52" s="9">
        <v>1</v>
      </c>
      <c r="C52" s="9">
        <v>1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</row>
    <row r="53" spans="1:11" ht="12.75">
      <c r="A53" s="1" t="str">
        <f>INDEX(Craft_depts,6)</f>
        <v>D 6</v>
      </c>
      <c r="B53" s="9">
        <v>1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</row>
    <row r="54" spans="1:11" ht="12.75">
      <c r="A54" s="1" t="str">
        <f>INDEX(Craft_depts,7)</f>
        <v>D 7</v>
      </c>
      <c r="B54" s="9">
        <v>1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</row>
    <row r="55" spans="1:11" ht="12.75">
      <c r="A55" s="1" t="str">
        <f>INDEX(Craft_depts,8)</f>
        <v>D 8</v>
      </c>
      <c r="B55" s="9">
        <v>1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</row>
    <row r="56" spans="1:11" ht="12.75">
      <c r="A56" s="1" t="str">
        <f>INDEX(Craft_depts,9)</f>
        <v>D 9</v>
      </c>
      <c r="B56" s="9">
        <v>1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</row>
    <row r="57" spans="1:11" ht="12.75">
      <c r="A57" s="1" t="str">
        <f>INDEX(Craft_depts,10)</f>
        <v>D 10</v>
      </c>
      <c r="B57" s="9">
        <v>1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2007-10-04T13:47:13Z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